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492" yWindow="864" windowWidth="22428" windowHeight="8400"/>
  </bookViews>
  <sheets>
    <sheet name="Vikas.sir91" sheetId="1" r:id="rId1"/>
    <sheet name="REF" sheetId="2" r:id="rId2"/>
    <sheet name="REF2" sheetId="3" r:id="rId3"/>
  </sheets>
  <definedNames>
    <definedName name="_xlnm.Print_Area" localSheetId="0">Vikas.sir91!$A$402:$M$523</definedName>
  </definedNames>
  <calcPr calcId="124519"/>
  <extLst>
    <ext uri="GoogleSheetsCustomDataVersion2">
      <go:sheetsCustomData xmlns:go="http://customooxmlschemas.google.com/" r:id="" roundtripDataChecksum="KOsqUR5u2wwbWXqfFPduiPPhjoz8W8T+b12S7QF6bRA="/>
    </ext>
  </extLst>
</workbook>
</file>

<file path=xl/calcChain.xml><?xml version="1.0" encoding="utf-8"?>
<calcChain xmlns="http://schemas.openxmlformats.org/spreadsheetml/2006/main">
  <c r="I486" i="1"/>
  <c r="I485"/>
  <c r="I484"/>
  <c r="I423"/>
  <c r="I422"/>
  <c r="I424"/>
  <c r="M438" l="1"/>
  <c r="I501"/>
  <c r="H485"/>
  <c r="H515"/>
  <c r="I499"/>
  <c r="I498"/>
  <c r="I497"/>
  <c r="I496"/>
  <c r="I492"/>
  <c r="F488"/>
  <c r="M487"/>
  <c r="M486"/>
  <c r="H486"/>
  <c r="G485"/>
  <c r="G484"/>
  <c r="K483"/>
  <c r="I483"/>
  <c r="G483"/>
  <c r="C483"/>
  <c r="D483" s="1"/>
  <c r="K482"/>
  <c r="I482"/>
  <c r="G482"/>
  <c r="C482"/>
  <c r="K481"/>
  <c r="I481"/>
  <c r="G481"/>
  <c r="C481"/>
  <c r="D479" s="1"/>
  <c r="K480"/>
  <c r="I480"/>
  <c r="G480"/>
  <c r="C480"/>
  <c r="D481" s="1"/>
  <c r="K479"/>
  <c r="I479"/>
  <c r="G479"/>
  <c r="C479"/>
  <c r="K478"/>
  <c r="I478"/>
  <c r="G478"/>
  <c r="C478"/>
  <c r="D478" s="1"/>
  <c r="I477"/>
  <c r="G477"/>
  <c r="C477"/>
  <c r="D477" s="1"/>
  <c r="I476"/>
  <c r="G476"/>
  <c r="C476"/>
  <c r="I475"/>
  <c r="G475"/>
  <c r="D475"/>
  <c r="J475" s="1"/>
  <c r="C475"/>
  <c r="K474"/>
  <c r="K475" s="1"/>
  <c r="K476" s="1"/>
  <c r="K477" s="1"/>
  <c r="I474"/>
  <c r="G474"/>
  <c r="C474"/>
  <c r="B474"/>
  <c r="B475" s="1"/>
  <c r="B476" s="1"/>
  <c r="B477" s="1"/>
  <c r="B478" s="1"/>
  <c r="B479" s="1"/>
  <c r="B480" s="1"/>
  <c r="B481" s="1"/>
  <c r="B482" s="1"/>
  <c r="B483" s="1"/>
  <c r="L473"/>
  <c r="L474" s="1"/>
  <c r="L475" s="1"/>
  <c r="L476" s="1"/>
  <c r="L477" s="1"/>
  <c r="L478" s="1"/>
  <c r="L479" s="1"/>
  <c r="L480" s="1"/>
  <c r="L481" s="1"/>
  <c r="K473"/>
  <c r="I473"/>
  <c r="G473"/>
  <c r="E473"/>
  <c r="E474" s="1"/>
  <c r="E475" s="1"/>
  <c r="C473"/>
  <c r="B473"/>
  <c r="L472"/>
  <c r="L488" s="1"/>
  <c r="H517" s="1"/>
  <c r="K472"/>
  <c r="I472"/>
  <c r="G472"/>
  <c r="E472"/>
  <c r="C472"/>
  <c r="D472" s="1"/>
  <c r="B472"/>
  <c r="J469"/>
  <c r="E469"/>
  <c r="A522" s="1"/>
  <c r="B469"/>
  <c r="J468"/>
  <c r="B468"/>
  <c r="J467"/>
  <c r="B467"/>
  <c r="A520" s="1"/>
  <c r="M466"/>
  <c r="J466"/>
  <c r="E466"/>
  <c r="B466"/>
  <c r="G445"/>
  <c r="H444"/>
  <c r="C444"/>
  <c r="C443"/>
  <c r="C442"/>
  <c r="C441"/>
  <c r="M440"/>
  <c r="C440"/>
  <c r="M439"/>
  <c r="C439"/>
  <c r="C438"/>
  <c r="M437"/>
  <c r="C437"/>
  <c r="C436"/>
  <c r="C434"/>
  <c r="C433"/>
  <c r="M432"/>
  <c r="C432"/>
  <c r="M431"/>
  <c r="M428"/>
  <c r="F426"/>
  <c r="M425"/>
  <c r="H424"/>
  <c r="M424" s="1"/>
  <c r="G423"/>
  <c r="G422"/>
  <c r="K421"/>
  <c r="I421"/>
  <c r="G421"/>
  <c r="C421"/>
  <c r="D421" s="1"/>
  <c r="J421" s="1"/>
  <c r="K420"/>
  <c r="I420"/>
  <c r="G420"/>
  <c r="C420"/>
  <c r="D420" s="1"/>
  <c r="K419"/>
  <c r="I419"/>
  <c r="G419"/>
  <c r="C419"/>
  <c r="D417" s="1"/>
  <c r="K418"/>
  <c r="I418"/>
  <c r="G418"/>
  <c r="C418"/>
  <c r="D419" s="1"/>
  <c r="K417"/>
  <c r="I417"/>
  <c r="G417"/>
  <c r="C417"/>
  <c r="K416"/>
  <c r="I416"/>
  <c r="G416"/>
  <c r="C416"/>
  <c r="I415"/>
  <c r="G415"/>
  <c r="C415"/>
  <c r="I414"/>
  <c r="G414"/>
  <c r="C414"/>
  <c r="D414" s="1"/>
  <c r="J414" s="1"/>
  <c r="I413"/>
  <c r="G413"/>
  <c r="L412"/>
  <c r="L413" s="1"/>
  <c r="L414" s="1"/>
  <c r="L415" s="1"/>
  <c r="L416" s="1"/>
  <c r="L417" s="1"/>
  <c r="L418" s="1"/>
  <c r="L419" s="1"/>
  <c r="I412"/>
  <c r="G412"/>
  <c r="E412"/>
  <c r="E413" s="1"/>
  <c r="E414" s="1"/>
  <c r="E415" s="1"/>
  <c r="E416" s="1"/>
  <c r="E417" s="1"/>
  <c r="L411"/>
  <c r="I411"/>
  <c r="G411"/>
  <c r="E411"/>
  <c r="B411"/>
  <c r="B412" s="1"/>
  <c r="B413" s="1"/>
  <c r="B414" s="1"/>
  <c r="B415" s="1"/>
  <c r="B416" s="1"/>
  <c r="B417" s="1"/>
  <c r="B418" s="1"/>
  <c r="B419" s="1"/>
  <c r="B420" s="1"/>
  <c r="B421" s="1"/>
  <c r="L410"/>
  <c r="K410"/>
  <c r="K411" s="1"/>
  <c r="K412" s="1"/>
  <c r="K413" s="1"/>
  <c r="K414" s="1"/>
  <c r="K415" s="1"/>
  <c r="I410"/>
  <c r="G410"/>
  <c r="E410"/>
  <c r="C410"/>
  <c r="H422" s="1"/>
  <c r="B410"/>
  <c r="J407"/>
  <c r="E407"/>
  <c r="B407"/>
  <c r="A449" s="1"/>
  <c r="J406"/>
  <c r="B406"/>
  <c r="J405"/>
  <c r="B405"/>
  <c r="A448" s="1"/>
  <c r="M404"/>
  <c r="J404"/>
  <c r="E404"/>
  <c r="B404"/>
  <c r="L426" l="1"/>
  <c r="M454" s="1"/>
  <c r="J419"/>
  <c r="D410"/>
  <c r="J410" s="1"/>
  <c r="G426"/>
  <c r="M436" s="1"/>
  <c r="I488"/>
  <c r="D418"/>
  <c r="J418" s="1"/>
  <c r="J477"/>
  <c r="D476"/>
  <c r="J476" s="1"/>
  <c r="J417"/>
  <c r="G488"/>
  <c r="I495" s="1"/>
  <c r="I426"/>
  <c r="C430" s="1"/>
  <c r="A521"/>
  <c r="A455"/>
  <c r="K488"/>
  <c r="J481"/>
  <c r="H479"/>
  <c r="J485"/>
  <c r="M485" s="1"/>
  <c r="J422"/>
  <c r="M422" s="1"/>
  <c r="H417"/>
  <c r="E418"/>
  <c r="E419" s="1"/>
  <c r="H475"/>
  <c r="M475" s="1"/>
  <c r="E476"/>
  <c r="E477" s="1"/>
  <c r="E478" s="1"/>
  <c r="E479" s="1"/>
  <c r="E480" s="1"/>
  <c r="E481" s="1"/>
  <c r="E482" s="1"/>
  <c r="E483" s="1"/>
  <c r="H410"/>
  <c r="H418"/>
  <c r="M418" s="1"/>
  <c r="J420"/>
  <c r="K426"/>
  <c r="C431" s="1"/>
  <c r="J478"/>
  <c r="G522"/>
  <c r="C411"/>
  <c r="D416"/>
  <c r="H416" s="1"/>
  <c r="D474"/>
  <c r="H474" s="1"/>
  <c r="D482"/>
  <c r="H482" s="1"/>
  <c r="J472"/>
  <c r="J483"/>
  <c r="H414"/>
  <c r="M414" s="1"/>
  <c r="D415"/>
  <c r="H415" s="1"/>
  <c r="A450"/>
  <c r="H472"/>
  <c r="D473"/>
  <c r="J473" s="1"/>
  <c r="H483"/>
  <c r="M483" s="1"/>
  <c r="C488"/>
  <c r="J479"/>
  <c r="H423"/>
  <c r="H484"/>
  <c r="D480"/>
  <c r="J480" s="1"/>
  <c r="H480" l="1"/>
  <c r="M480" s="1"/>
  <c r="J474"/>
  <c r="M474" s="1"/>
  <c r="J416"/>
  <c r="M416" s="1"/>
  <c r="H473"/>
  <c r="M479"/>
  <c r="J415"/>
  <c r="M415" s="1"/>
  <c r="M417"/>
  <c r="H419"/>
  <c r="M419" s="1"/>
  <c r="E420"/>
  <c r="D488"/>
  <c r="M473"/>
  <c r="J482"/>
  <c r="M482" s="1"/>
  <c r="H481"/>
  <c r="M481" s="1"/>
  <c r="H476"/>
  <c r="M476" s="1"/>
  <c r="H477"/>
  <c r="M477" s="1"/>
  <c r="J423"/>
  <c r="M423" s="1"/>
  <c r="J484"/>
  <c r="M484" s="1"/>
  <c r="M410"/>
  <c r="M472"/>
  <c r="D411"/>
  <c r="C412"/>
  <c r="J411"/>
  <c r="H478"/>
  <c r="M478" s="1"/>
  <c r="E488"/>
  <c r="J488" l="1"/>
  <c r="E421"/>
  <c r="H421" s="1"/>
  <c r="M421" s="1"/>
  <c r="H420"/>
  <c r="M420" s="1"/>
  <c r="E426"/>
  <c r="D412"/>
  <c r="C413"/>
  <c r="C426" s="1"/>
  <c r="H488"/>
  <c r="H411"/>
  <c r="J412" l="1"/>
  <c r="D413"/>
  <c r="J413" s="1"/>
  <c r="M488"/>
  <c r="I491"/>
  <c r="I493" s="1"/>
  <c r="M411"/>
  <c r="H412"/>
  <c r="D426" l="1"/>
  <c r="H413"/>
  <c r="J426"/>
  <c r="C435" s="1"/>
  <c r="C445" s="1"/>
  <c r="M434" s="1"/>
  <c r="M441" s="1"/>
  <c r="M412"/>
  <c r="E509"/>
  <c r="H509" s="1"/>
  <c r="E505"/>
  <c r="H505" s="1"/>
  <c r="E506"/>
  <c r="H506" s="1"/>
  <c r="E507"/>
  <c r="H507" s="1"/>
  <c r="E508"/>
  <c r="H508" s="1"/>
  <c r="E504"/>
  <c r="H504" s="1"/>
  <c r="M435"/>
  <c r="H511" l="1"/>
  <c r="H512" s="1"/>
  <c r="M413"/>
  <c r="M426" s="1"/>
  <c r="H426"/>
  <c r="I428" s="1"/>
  <c r="J429" s="1"/>
  <c r="H510"/>
  <c r="M442" l="1"/>
  <c r="J446" s="1"/>
  <c r="M446" s="1"/>
  <c r="H513"/>
  <c r="H514" s="1"/>
  <c r="H516" s="1"/>
  <c r="J447" l="1"/>
  <c r="M447" s="1"/>
  <c r="M448"/>
  <c r="J445"/>
  <c r="M445" s="1"/>
  <c r="H518"/>
  <c r="B518"/>
  <c r="M449" l="1"/>
  <c r="M450" s="1"/>
  <c r="M451" s="1"/>
  <c r="M453" s="1"/>
  <c r="E54" s="1"/>
  <c r="M455" l="1"/>
  <c r="G455"/>
</calcChain>
</file>

<file path=xl/comments1.xml><?xml version="1.0" encoding="utf-8"?>
<comments xmlns="http://schemas.openxmlformats.org/spreadsheetml/2006/main">
  <authors>
    <author/>
  </authors>
  <commentList>
    <comment ref="G46" authorId="0">
      <text>
        <r>
          <rPr>
            <sz val="11"/>
            <color rgb="FF000000"/>
            <rFont val="Calibri"/>
            <scheme val="minor"/>
          </rPr>
          <t>======
ID#AAABxpDgNb4
    (2025-12-18 07:39:36)
1. Govt. Employees-Tax Free;
2. Others- Max 25,00,000/-</t>
        </r>
      </text>
    </comment>
    <comment ref="G48" authorId="0">
      <text>
        <r>
          <rPr>
            <sz val="11"/>
            <color rgb="FF000000"/>
            <rFont val="Calibri"/>
            <scheme val="minor"/>
          </rPr>
          <t>======
ID#AAABxpDgNb0
    (2025-12-18 07:39:36)
No Limt. Any amount can be claimed as Deduction U/S 24(b) for let-out property.</t>
        </r>
      </text>
    </comment>
    <comment ref="I495" authorId="0">
      <text>
        <r>
          <rPr>
            <sz val="11"/>
            <color rgb="FF000000"/>
            <rFont val="Calibri"/>
            <scheme val="minor"/>
          </rPr>
          <t>======
ID#AAABxpDgNb8
    (2025-12-18 07:39:36)
Max Deduction:-
1.Govt. Employee-14%(Basic+DA)
2.Others-14%</t>
        </r>
      </text>
    </comment>
    <comment ref="I496" authorId="0">
      <text>
        <r>
          <rPr>
            <sz val="11"/>
            <color rgb="FF000000"/>
            <rFont val="Calibri"/>
            <scheme val="minor"/>
          </rPr>
          <t>======
ID#AAABxpDgNcA
    (2025-12-18 07:39:36)
1. Govt. Employees-Tax Free;
2. Others- Max 25,00,000/-</t>
        </r>
      </text>
    </comment>
    <comment ref="I498" authorId="0">
      <text>
        <r>
          <rPr>
            <sz val="11"/>
            <color rgb="FF000000"/>
            <rFont val="Calibri"/>
            <scheme val="minor"/>
          </rPr>
          <t>======
ID#AAABxpDgNcE
    (2025-12-18 07:39:36)
No Limt. Any amount can be claimed as Deduction U/S 24(b) for let-out property.</t>
        </r>
      </text>
    </comment>
  </commentList>
  <extLst xmlns:r="http://schemas.openxmlformats.org/officeDocument/2006/relationships">
    <ext uri="GoogleSheetsCustomDataVersion2">
      <go:sheetsCustomData xmlns:go="http://customooxmlschemas.google.com/" r:id="" roundtripDataSignature="AMtx7mjg2Yxmn0uiVR6s0SEaRCvQfviPHw=="/>
    </ext>
  </extLst>
</comments>
</file>

<file path=xl/sharedStrings.xml><?xml version="1.0" encoding="utf-8"?>
<sst xmlns="http://schemas.openxmlformats.org/spreadsheetml/2006/main" count="233" uniqueCount="182">
  <si>
    <t xml:space="preserve">ENTER YOUR DETAILS </t>
  </si>
  <si>
    <t>ENTER NAME</t>
  </si>
  <si>
    <t>EHRMS Id</t>
  </si>
  <si>
    <t>DOB</t>
  </si>
  <si>
    <t>MOBILE</t>
  </si>
  <si>
    <t>SCHOOL NAME</t>
  </si>
  <si>
    <t>PS PEETHAPUR</t>
  </si>
  <si>
    <t>DESIGNATION / POST</t>
  </si>
  <si>
    <t>AT</t>
  </si>
  <si>
    <t>BLOCK NAME</t>
  </si>
  <si>
    <t>SIRAULIGAUSPUR</t>
  </si>
  <si>
    <t>DISTRICT</t>
  </si>
  <si>
    <t>BARABANKI</t>
  </si>
  <si>
    <t>BANK A/C No</t>
  </si>
  <si>
    <t>BANK BRANCH</t>
  </si>
  <si>
    <t>ABC XYZ</t>
  </si>
  <si>
    <t xml:space="preserve">PAN CARD </t>
  </si>
  <si>
    <t>FPDX**X*X75H</t>
  </si>
  <si>
    <r>
      <rPr>
        <b/>
        <sz val="11"/>
        <color rgb="FF70AD47"/>
        <rFont val="Calibri"/>
      </rPr>
      <t>अपना मूल वेतन चुनें (</t>
    </r>
    <r>
      <rPr>
        <b/>
        <sz val="11"/>
        <color rgb="FFFF0000"/>
        <rFont val="Calibri"/>
      </rPr>
      <t>मार्च 2025</t>
    </r>
    <r>
      <rPr>
        <b/>
        <sz val="11"/>
        <color rgb="FF70AD47"/>
        <rFont val="Calibri"/>
      </rPr>
      <t xml:space="preserve"> )</t>
    </r>
  </si>
  <si>
    <t xml:space="preserve">अपना ग्रेड पे चुनें </t>
  </si>
  <si>
    <t xml:space="preserve">अपना HRA चुनें </t>
  </si>
  <si>
    <t>इन्क्रीमेंट का महीना (जुलाई=1, जनवरी=2)</t>
  </si>
  <si>
    <t>वरिष्ठ नागरिक हैं? (हाँ=1, नहीं=2)</t>
  </si>
  <si>
    <t>HRA की छूट चाहते हैं? (हाँ=1, नहीं=2)</t>
  </si>
  <si>
    <t>बोनस मिला है? (हाँ=1, नहीं=2)</t>
  </si>
  <si>
    <r>
      <rPr>
        <b/>
        <sz val="11"/>
        <color rgb="FFFF0000"/>
        <rFont val="Calibri"/>
      </rPr>
      <t>GIS</t>
    </r>
    <r>
      <rPr>
        <b/>
        <sz val="11"/>
        <color rgb="FF70AD47"/>
        <rFont val="Calibri"/>
      </rPr>
      <t xml:space="preserve"> की कटौती हो रही ? (हाँ=1, नहीं=2)</t>
    </r>
  </si>
  <si>
    <t>October का वेतन 58% DA के साथ मिला है? (हाँ=1, नहीं=2)</t>
  </si>
  <si>
    <t>वेतन से NPS कटा है? (हाँ=1, नहीं=2)</t>
  </si>
  <si>
    <t>बकाया DA से NPS कटा है? (हाँ=1, नहीं=2)</t>
  </si>
  <si>
    <t>नियोक्ता से प्राप्त NPS अंशदान सकल आय में माहवार जोड़ना चाहते है? (हाँ=1, नहीं=2)</t>
  </si>
  <si>
    <t>यदि आपका GPF कटता है तो ﻿ (हाँ=1, नहीं=2)</t>
  </si>
  <si>
    <t>SECTION 80C SAVINGS DETAILS (For OLD Regime)</t>
  </si>
  <si>
    <t>LIC/PLI</t>
  </si>
  <si>
    <t>MUTUAL FUND ELSS</t>
  </si>
  <si>
    <t>INFRASTRUCTURE BOND</t>
  </si>
  <si>
    <t>FD (Tax saver)</t>
  </si>
  <si>
    <t>NSC</t>
  </si>
  <si>
    <t>TUITION FEE</t>
  </si>
  <si>
    <t xml:space="preserve">HOME LOAN PRINCIPLE </t>
  </si>
  <si>
    <r>
      <rPr>
        <b/>
        <sz val="14"/>
        <color theme="9"/>
        <rFont val="Calibri"/>
      </rPr>
      <t xml:space="preserve">HOME LOAN INTREST </t>
    </r>
    <r>
      <rPr>
        <b/>
        <sz val="8"/>
        <color rgb="FFFF0000"/>
        <rFont val="Calibri"/>
      </rPr>
      <t>(UPTO 2 LAKH)**</t>
    </r>
  </si>
  <si>
    <t>SUKANYA</t>
  </si>
  <si>
    <t>Medical Ins. 80D, 80DD, 80DDB, 80E</t>
  </si>
  <si>
    <t>PPF SELF SAVING</t>
  </si>
  <si>
    <t>PENSION FUND</t>
  </si>
  <si>
    <t>Other Saving</t>
  </si>
  <si>
    <t>80TTA/B (Rs. 10,000 for others) Bank intrest</t>
  </si>
  <si>
    <t>Stamp Duty &amp; Registration Fees on House Buying</t>
  </si>
  <si>
    <t>OTHER REBATES</t>
  </si>
  <si>
    <r>
      <rPr>
        <b/>
        <sz val="12"/>
        <color rgb="FF548135"/>
        <rFont val="Calibri"/>
      </rPr>
      <t>Income From Other Source</t>
    </r>
    <r>
      <rPr>
        <b/>
        <sz val="12"/>
        <color rgb="FFFF0000"/>
        <rFont val="Calibri"/>
      </rPr>
      <t xml:space="preserve"> </t>
    </r>
    <r>
      <rPr>
        <b/>
        <sz val="8"/>
        <color rgb="FFFF0000"/>
        <rFont val="Calibri"/>
      </rPr>
      <t>(IF AVAILABLE)</t>
    </r>
  </si>
  <si>
    <t>New Tax Regime</t>
  </si>
  <si>
    <t>Less: Exemption on Leave encashment U/S 10(10AA)</t>
  </si>
  <si>
    <t>Less: Transport Allowance for a Specially-Abled person(Max Rs. 38,400 per year)</t>
  </si>
  <si>
    <t>Less: Interest on Home Loan Taken For Let-Out Property U/S 24(b)</t>
  </si>
  <si>
    <t>Less: Any Other Allowable Deduction under New Tax Regime(Like Agniveer Scheme)</t>
  </si>
  <si>
    <r>
      <rPr>
        <b/>
        <sz val="12"/>
        <color theme="0"/>
        <rFont val="Calibri"/>
      </rPr>
      <t xml:space="preserve">You Should Opt </t>
    </r>
    <r>
      <rPr>
        <sz val="12"/>
        <color theme="0"/>
        <rFont val="Calibri"/>
      </rPr>
      <t xml:space="preserve"> आपके लिए फायदेमंद है --------&gt;&gt;</t>
    </r>
  </si>
  <si>
    <t>INCOME TAX CALCULATION SHEET (OLD TAX REGIME)</t>
  </si>
  <si>
    <t>(FINANCIAL YEAR  2025-26 &amp; A.Y 2026-27)</t>
  </si>
  <si>
    <t>PAN</t>
  </si>
  <si>
    <t>DATE OF BIRTH</t>
  </si>
  <si>
    <t>MOB.NO.</t>
  </si>
  <si>
    <t>NAME</t>
  </si>
  <si>
    <t>BANK A/c NO.</t>
  </si>
  <si>
    <t>SCHOOL</t>
  </si>
  <si>
    <t>BANK &amp; BRANCH NAME</t>
  </si>
  <si>
    <t>POST</t>
  </si>
  <si>
    <t>BLOCK</t>
  </si>
  <si>
    <t xml:space="preserve">DISTRICT </t>
  </si>
  <si>
    <t>MONTH</t>
  </si>
  <si>
    <t>GRADE PAY</t>
  </si>
  <si>
    <t>BASIC PAY</t>
  </si>
  <si>
    <t>DA</t>
  </si>
  <si>
    <t>HRA</t>
  </si>
  <si>
    <t>NPS by Employer</t>
  </si>
  <si>
    <t>GROSS PAY</t>
  </si>
  <si>
    <t>GPF/PPF</t>
  </si>
  <si>
    <t>NPS from Salary</t>
  </si>
  <si>
    <t>GIS</t>
  </si>
  <si>
    <t>ADV IT</t>
  </si>
  <si>
    <t>NET PAY</t>
  </si>
  <si>
    <t>DA Arrear (53%-55%)</t>
  </si>
  <si>
    <t>Jan-Mar 25</t>
  </si>
  <si>
    <t>DA Arrear (55%-58%)</t>
  </si>
  <si>
    <t>Jul-Sep 25</t>
  </si>
  <si>
    <t>BONUS</t>
  </si>
  <si>
    <t>OTHER ARREARS</t>
  </si>
  <si>
    <t>TOTAL</t>
  </si>
  <si>
    <t>SECTION 80C SAVINGS DETAILS</t>
  </si>
  <si>
    <t>SALARY INCOME</t>
  </si>
  <si>
    <t>OTH. INCOME</t>
  </si>
  <si>
    <t>TOTAL INCOME</t>
  </si>
  <si>
    <t>GPF</t>
  </si>
  <si>
    <t>NON TAXABLE INCOME (ATTACH  DOCUMENTS)</t>
  </si>
  <si>
    <t>A</t>
  </si>
  <si>
    <t xml:space="preserve">HRA EXEMP. u/s 10(13A) </t>
  </si>
  <si>
    <t>B</t>
  </si>
  <si>
    <t>HOME LOAN INTEREST</t>
  </si>
  <si>
    <t>C</t>
  </si>
  <si>
    <t>STANDARD DEDUCTION u/s 16 (1a)</t>
  </si>
  <si>
    <t>D</t>
  </si>
  <si>
    <t>DEDUCTION u/s 80C</t>
  </si>
  <si>
    <t>NPS u/s 80CCD(1)</t>
  </si>
  <si>
    <t>E</t>
  </si>
  <si>
    <t>NPS DEDUCTION u/s 80CCD(1B) (Max 50,000)</t>
  </si>
  <si>
    <t>FD (Tax Saver)</t>
  </si>
  <si>
    <t>F</t>
  </si>
  <si>
    <t xml:space="preserve">NPS DEDUCTION u/s 80CCD(2) </t>
  </si>
  <si>
    <t>G</t>
  </si>
  <si>
    <t>80D, 80DD, 80DDB, 80E</t>
  </si>
  <si>
    <t>TUITION  FEE</t>
  </si>
  <si>
    <t>H</t>
  </si>
  <si>
    <t>EXEMP. FOR DISABILITY u/s 80U</t>
  </si>
  <si>
    <t>Stamp Duty House Buying</t>
  </si>
  <si>
    <t>I</t>
  </si>
  <si>
    <r>
      <rPr>
        <sz val="11"/>
        <color rgb="FF000000"/>
        <rFont val="Calibri"/>
      </rPr>
      <t xml:space="preserve">80TTA/B (Rs. 10,000 for others &amp;  Rs. 50,000 for Senior Citizens) </t>
    </r>
    <r>
      <rPr>
        <sz val="10"/>
        <color rgb="FF000000"/>
        <rFont val="Calibri"/>
      </rPr>
      <t>Bank intrest</t>
    </r>
  </si>
  <si>
    <t>H. LOAN PRINCI.</t>
  </si>
  <si>
    <t>J</t>
  </si>
  <si>
    <t>TOTAL NON TAXABLE INCOME</t>
  </si>
  <si>
    <t xml:space="preserve">PPF </t>
  </si>
  <si>
    <t>TAXABLE INCOME (1-2)</t>
  </si>
  <si>
    <t>Infrastructure Bond</t>
  </si>
  <si>
    <t>INCOME TAX CALCULATION</t>
  </si>
  <si>
    <t>Others</t>
  </si>
  <si>
    <t>i</t>
  </si>
  <si>
    <t>Upto</t>
  </si>
  <si>
    <t>ii</t>
  </si>
  <si>
    <t>iii</t>
  </si>
  <si>
    <t>From 500001 to 1000000</t>
  </si>
  <si>
    <t>iv</t>
  </si>
  <si>
    <t>Above 1000000</t>
  </si>
  <si>
    <t>REBATE u/s 87A</t>
  </si>
  <si>
    <t>TOTAL TAX</t>
  </si>
  <si>
    <t>HEALTH &amp; EDUCATION CESS @4%</t>
  </si>
  <si>
    <t>GROSS TAX LIABILITY (5+6)</t>
  </si>
  <si>
    <t>REBATE u/s 89(10E)</t>
  </si>
  <si>
    <t>TOTAL TAX PAYABLE (7-8)</t>
  </si>
  <si>
    <t>B.E.O.</t>
  </si>
  <si>
    <t>ADVANCE  I.T. DEDUCTION</t>
  </si>
  <si>
    <t>Income Tax Calculator  (New Tax Regime-Default)-115BAC</t>
  </si>
  <si>
    <t>BANK-BRANCH</t>
  </si>
  <si>
    <t>HCA</t>
  </si>
  <si>
    <t>Gross Income from Salaries and Allowances</t>
  </si>
  <si>
    <t>Add: Income From Other Sources</t>
  </si>
  <si>
    <t>Gross Total Income</t>
  </si>
  <si>
    <r>
      <rPr>
        <sz val="11"/>
        <color rgb="FF000000"/>
        <rFont val="Calibri"/>
      </rPr>
      <t>Standard Deduction (Max Limit Rs.</t>
    </r>
    <r>
      <rPr>
        <sz val="11"/>
        <color rgb="FF000000"/>
        <rFont val="Calibri"/>
      </rPr>
      <t>75,000) Introduced in Budget 2024</t>
    </r>
  </si>
  <si>
    <t>Employer's Contribution to NPS U/S 80CCD(2)</t>
  </si>
  <si>
    <t>Exemption on Leave encashment U/S 10(10AA)</t>
  </si>
  <si>
    <t>Transport Allowance for a Specially-Abled person(Max Rs. 38,400 per year)</t>
  </si>
  <si>
    <t>Interest on Home Loan Taken For Let-Out Property U/S 24(b)</t>
  </si>
  <si>
    <t>Any Other Allowable Deduction under New Tax Regime(Like Agniveer Scheme)</t>
  </si>
  <si>
    <t>Net Taxable Income after Deductions</t>
  </si>
  <si>
    <t>From 400001 to 800000</t>
  </si>
  <si>
    <t>From 800001 to 1200000</t>
  </si>
  <si>
    <t>From 1200001 to 1600000</t>
  </si>
  <si>
    <t>v</t>
  </si>
  <si>
    <t>From 1600001 to 2000000</t>
  </si>
  <si>
    <t>vi</t>
  </si>
  <si>
    <t>From 2000001 to 2400000</t>
  </si>
  <si>
    <t>vii</t>
  </si>
  <si>
    <t>Above 2400000</t>
  </si>
  <si>
    <t>1</t>
  </si>
  <si>
    <t>2</t>
  </si>
  <si>
    <t xml:space="preserve">Marginal Tax Relief </t>
  </si>
  <si>
    <t>3</t>
  </si>
  <si>
    <t>4</t>
  </si>
  <si>
    <t>GROSS TAX LIABILITY (2+3)</t>
  </si>
  <si>
    <t>TOTAL TAX PAYABLE (4-5)</t>
  </si>
  <si>
    <t>H T</t>
  </si>
  <si>
    <t>P S</t>
  </si>
  <si>
    <t>I H T</t>
  </si>
  <si>
    <t>U P S</t>
  </si>
  <si>
    <t>A T</t>
  </si>
  <si>
    <t>C S</t>
  </si>
  <si>
    <t>Instagram</t>
  </si>
  <si>
    <t xml:space="preserve">    Facebook</t>
  </si>
  <si>
    <t xml:space="preserve"> Need Your Support, Just 1 Follow Plz.</t>
  </si>
  <si>
    <r>
      <t xml:space="preserve">Person with Disability/Disabilities </t>
    </r>
    <r>
      <rPr>
        <b/>
        <sz val="10"/>
        <color rgb="FFFF0000"/>
        <rFont val="Calibri"/>
        <family val="2"/>
      </rPr>
      <t>Section 80U</t>
    </r>
  </si>
  <si>
    <r>
      <t xml:space="preserve"> (40%-80% disability-&gt;</t>
    </r>
    <r>
      <rPr>
        <b/>
        <sz val="11"/>
        <color rgb="FF002060"/>
        <rFont val="Calibri"/>
        <family val="2"/>
      </rPr>
      <t>75000</t>
    </r>
    <r>
      <rPr>
        <sz val="11"/>
        <color rgb="FFFF0000"/>
        <rFont val="Calibri"/>
        <family val="2"/>
      </rPr>
      <t>)</t>
    </r>
  </si>
  <si>
    <r>
      <t xml:space="preserve"> (80%+ disability-&gt;</t>
    </r>
    <r>
      <rPr>
        <b/>
        <sz val="11"/>
        <color rgb="FF002060"/>
        <rFont val="Calibri"/>
        <family val="2"/>
      </rPr>
      <t>125000</t>
    </r>
    <r>
      <rPr>
        <sz val="11"/>
        <color rgb="FFFF0000"/>
        <rFont val="Calibri"/>
        <family val="2"/>
      </rPr>
      <t>)</t>
    </r>
  </si>
  <si>
    <t>ADVANCED TAX DEDUCTION--&gt; March</t>
  </si>
  <si>
    <t>Vikas Verma</t>
  </si>
  <si>
    <t>Income Tax Calculator F.Y 2025-26 &amp; A.Y 2026-27 (New Tax Regime-Default)-115BAC</t>
  </si>
  <si>
    <t>(01-04-2025 to 31-03-2026)</t>
  </si>
</sst>
</file>

<file path=xl/styles.xml><?xml version="1.0" encoding="utf-8"?>
<styleSheet xmlns="http://schemas.openxmlformats.org/spreadsheetml/2006/main">
  <numFmts count="2">
    <numFmt numFmtId="43" formatCode="_ * #,##0.00_ ;_ * \-#,##0.00_ ;_ * &quot;-&quot;??_ ;_ @_ "/>
    <numFmt numFmtId="164" formatCode="d/m/yyyy"/>
  </numFmts>
  <fonts count="51">
    <font>
      <sz val="11"/>
      <color rgb="FF000000"/>
      <name val="Calibri"/>
      <scheme val="minor"/>
    </font>
    <font>
      <sz val="28"/>
      <color rgb="FF000000"/>
      <name val="Calibri"/>
    </font>
    <font>
      <sz val="11"/>
      <name val="Calibri"/>
    </font>
    <font>
      <sz val="11"/>
      <color rgb="FF000000"/>
      <name val="Calibri"/>
    </font>
    <font>
      <b/>
      <sz val="14"/>
      <color rgb="FF70AD47"/>
      <name val="Calibri"/>
    </font>
    <font>
      <sz val="12"/>
      <color rgb="FF000000"/>
      <name val="Calibri"/>
    </font>
    <font>
      <b/>
      <sz val="14"/>
      <color theme="9"/>
      <name val="Calibri"/>
    </font>
    <font>
      <b/>
      <sz val="11"/>
      <color rgb="FF70AD47"/>
      <name val="Calibri"/>
    </font>
    <font>
      <sz val="14"/>
      <color rgb="FF000000"/>
      <name val="Calibri"/>
    </font>
    <font>
      <b/>
      <sz val="11"/>
      <color rgb="FFFF0000"/>
      <name val="Calibri"/>
    </font>
    <font>
      <b/>
      <sz val="11"/>
      <color rgb="FF4472C4"/>
      <name val="Calibri"/>
    </font>
    <font>
      <b/>
      <sz val="14"/>
      <color rgb="FFFFFFFF"/>
      <name val="Calibri"/>
    </font>
    <font>
      <b/>
      <sz val="12"/>
      <color theme="9"/>
      <name val="Calibri"/>
    </font>
    <font>
      <b/>
      <sz val="11"/>
      <color theme="9"/>
      <name val="Calibri"/>
    </font>
    <font>
      <b/>
      <sz val="12"/>
      <color rgb="FFFF0000"/>
      <name val="Calibri"/>
    </font>
    <font>
      <b/>
      <sz val="15"/>
      <color rgb="FFFFFFFF"/>
      <name val="Arial"/>
    </font>
    <font>
      <b/>
      <sz val="12"/>
      <color theme="1"/>
      <name val="Calibri"/>
    </font>
    <font>
      <b/>
      <sz val="14"/>
      <color theme="1"/>
      <name val="Calibri"/>
    </font>
    <font>
      <u/>
      <sz val="11"/>
      <color theme="10"/>
      <name val="Calibri"/>
    </font>
    <font>
      <sz val="12"/>
      <color theme="0"/>
      <name val="Calibri"/>
    </font>
    <font>
      <sz val="16"/>
      <color rgb="FFFFFFFF"/>
      <name val="Calibri"/>
    </font>
    <font>
      <u/>
      <sz val="11"/>
      <color theme="10"/>
      <name val="Calibri"/>
    </font>
    <font>
      <b/>
      <u/>
      <sz val="20"/>
      <color rgb="FF000000"/>
      <name val="Calibri"/>
    </font>
    <font>
      <b/>
      <sz val="20"/>
      <color rgb="FF000000"/>
      <name val="Calibri"/>
    </font>
    <font>
      <b/>
      <sz val="11"/>
      <color rgb="FF000000"/>
      <name val="Calibri"/>
    </font>
    <font>
      <b/>
      <sz val="10"/>
      <color rgb="FF000000"/>
      <name val="Calibri"/>
    </font>
    <font>
      <b/>
      <sz val="9"/>
      <color rgb="FF000000"/>
      <name val="Calibri"/>
    </font>
    <font>
      <sz val="11"/>
      <color theme="1"/>
      <name val="Calibri"/>
    </font>
    <font>
      <sz val="11"/>
      <color rgb="FFFF0000"/>
      <name val="Calibri"/>
    </font>
    <font>
      <b/>
      <sz val="11"/>
      <color rgb="FF00B050"/>
      <name val="Calibri"/>
    </font>
    <font>
      <b/>
      <sz val="8"/>
      <color rgb="FF000000"/>
      <name val="Calibri"/>
    </font>
    <font>
      <b/>
      <sz val="12"/>
      <color rgb="FF000000"/>
      <name val="Calibri"/>
    </font>
    <font>
      <b/>
      <sz val="11"/>
      <color theme="1"/>
      <name val="Calibri"/>
    </font>
    <font>
      <sz val="10"/>
      <color rgb="FF000000"/>
      <name val="Calibri"/>
    </font>
    <font>
      <b/>
      <sz val="10"/>
      <color theme="1"/>
      <name val="Calibri"/>
    </font>
    <font>
      <b/>
      <sz val="12"/>
      <color rgb="FF00B050"/>
      <name val="Calibri"/>
    </font>
    <font>
      <b/>
      <sz val="8"/>
      <color rgb="FFFF0000"/>
      <name val="Calibri"/>
    </font>
    <font>
      <b/>
      <sz val="12"/>
      <color rgb="FF548135"/>
      <name val="Calibri"/>
    </font>
    <font>
      <b/>
      <sz val="12"/>
      <color theme="0"/>
      <name val="Calibri"/>
    </font>
    <font>
      <b/>
      <sz val="36"/>
      <color rgb="FF0000FF"/>
      <name val="Calibri"/>
      <family val="2"/>
    </font>
    <font>
      <sz val="11"/>
      <color rgb="FFFF0000"/>
      <name val="Calibri"/>
      <family val="2"/>
    </font>
    <font>
      <b/>
      <sz val="22"/>
      <color theme="10"/>
      <name val="Calibri"/>
      <family val="2"/>
    </font>
    <font>
      <u/>
      <sz val="11"/>
      <color theme="10"/>
      <name val="Calibri"/>
      <family val="2"/>
    </font>
    <font>
      <sz val="12"/>
      <color theme="0"/>
      <name val="Calibri"/>
      <family val="2"/>
    </font>
    <font>
      <b/>
      <sz val="12"/>
      <color theme="1"/>
      <name val="Calibri"/>
      <family val="2"/>
    </font>
    <font>
      <sz val="12"/>
      <color rgb="FF000000"/>
      <name val="Calibri"/>
      <family val="2"/>
    </font>
    <font>
      <b/>
      <sz val="9"/>
      <color rgb="FF000000"/>
      <name val="Calibri"/>
      <family val="2"/>
    </font>
    <font>
      <b/>
      <sz val="12"/>
      <color theme="0"/>
      <name val="Calibri"/>
      <family val="2"/>
    </font>
    <font>
      <sz val="10"/>
      <color rgb="FFFF0000"/>
      <name val="Calibri"/>
      <family val="2"/>
    </font>
    <font>
      <b/>
      <sz val="10"/>
      <color rgb="FFFF0000"/>
      <name val="Calibri"/>
      <family val="2"/>
    </font>
    <font>
      <b/>
      <sz val="11"/>
      <color rgb="FF002060"/>
      <name val="Calibri"/>
      <family val="2"/>
    </font>
  </fonts>
  <fills count="16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FBE4D5"/>
        <bgColor rgb="FFFBE4D5"/>
      </patternFill>
    </fill>
    <fill>
      <patternFill patternType="solid">
        <fgColor rgb="FFFFE598"/>
        <bgColor rgb="FFFFE598"/>
      </patternFill>
    </fill>
    <fill>
      <patternFill patternType="solid">
        <fgColor rgb="FFB4C6E7"/>
        <bgColor rgb="FFB4C6E7"/>
      </patternFill>
    </fill>
    <fill>
      <patternFill patternType="solid">
        <fgColor rgb="FF0000FF"/>
        <bgColor rgb="FF0000FF"/>
      </patternFill>
    </fill>
    <fill>
      <patternFill patternType="solid">
        <fgColor rgb="FFE2EFD9"/>
        <bgColor rgb="FFE2EFD9"/>
      </patternFill>
    </fill>
    <fill>
      <patternFill patternType="solid">
        <fgColor rgb="FFB4A7D6"/>
        <bgColor rgb="FFB4A7D6"/>
      </patternFill>
    </fill>
    <fill>
      <patternFill patternType="solid">
        <fgColor rgb="FF002060"/>
        <bgColor rgb="FF002060"/>
      </patternFill>
    </fill>
    <fill>
      <patternFill patternType="solid">
        <fgColor rgb="FF00B050"/>
        <bgColor rgb="FF00B050"/>
      </patternFill>
    </fill>
    <fill>
      <patternFill patternType="solid">
        <fgColor theme="0"/>
        <bgColor theme="0"/>
      </patternFill>
    </fill>
    <fill>
      <patternFill patternType="solid">
        <fgColor rgb="FFFFFFFF"/>
        <bgColor rgb="FFFFFFFF"/>
      </patternFill>
    </fill>
    <fill>
      <patternFill patternType="solid">
        <fgColor theme="2"/>
        <bgColor rgb="FFFFFF00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2"/>
        <bgColor indexed="64"/>
      </patternFill>
    </fill>
  </fills>
  <borders count="6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505050"/>
      </left>
      <right/>
      <top style="thin">
        <color rgb="FF505050"/>
      </top>
      <bottom style="thin">
        <color rgb="FF505050"/>
      </bottom>
      <diagonal/>
    </border>
    <border>
      <left style="thin">
        <color rgb="FF505050"/>
      </left>
      <right style="thin">
        <color rgb="FF505050"/>
      </right>
      <top style="thin">
        <color rgb="FF505050"/>
      </top>
      <bottom style="thin">
        <color rgb="FF505050"/>
      </bottom>
      <diagonal/>
    </border>
    <border>
      <left/>
      <right/>
      <top style="thin">
        <color rgb="FF505050"/>
      </top>
      <bottom style="thin">
        <color rgb="FF50505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505050"/>
      </top>
      <bottom style="thin">
        <color rgb="FF505050"/>
      </bottom>
      <diagonal/>
    </border>
    <border>
      <left/>
      <right style="thin">
        <color rgb="FF505050"/>
      </right>
      <top style="thin">
        <color rgb="FF505050"/>
      </top>
      <bottom style="thin">
        <color rgb="FF505050"/>
      </bottom>
      <diagonal/>
    </border>
    <border>
      <left style="thin">
        <color rgb="FF505050"/>
      </left>
      <right style="thin">
        <color rgb="FF505050"/>
      </right>
      <top/>
      <bottom style="thin">
        <color rgb="FF505050"/>
      </bottom>
      <diagonal/>
    </border>
    <border>
      <left style="thin">
        <color rgb="FF505050"/>
      </left>
      <right style="thin">
        <color rgb="FF505050"/>
      </right>
      <top style="thin">
        <color rgb="FF505050"/>
      </top>
      <bottom/>
      <diagonal/>
    </border>
    <border>
      <left style="thin">
        <color rgb="FF505050"/>
      </left>
      <right/>
      <top/>
      <bottom/>
      <diagonal/>
    </border>
    <border>
      <left style="thin">
        <color rgb="FF505050"/>
      </left>
      <right/>
      <top/>
      <bottom style="thin">
        <color rgb="FF505050"/>
      </bottom>
      <diagonal/>
    </border>
    <border>
      <left style="thin">
        <color rgb="FF505050"/>
      </left>
      <right/>
      <top style="thin">
        <color rgb="FF505050"/>
      </top>
      <bottom/>
      <diagonal/>
    </border>
    <border>
      <left/>
      <right style="thin">
        <color rgb="FF50505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 style="thin">
        <color rgb="FF505050"/>
      </bottom>
      <diagonal/>
    </border>
    <border>
      <left/>
      <right style="thin">
        <color rgb="FF505050"/>
      </right>
      <top/>
      <bottom style="thin">
        <color rgb="FF505050"/>
      </bottom>
      <diagonal/>
    </border>
    <border>
      <left/>
      <right/>
      <top style="thin">
        <color rgb="FF000000"/>
      </top>
      <bottom style="thin">
        <color rgb="FF50505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rgb="FF505050"/>
      </right>
      <top style="thin">
        <color rgb="FF505050"/>
      </top>
      <bottom style="thin">
        <color rgb="FF50505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/>
      <bottom style="thin">
        <color rgb="FF505050"/>
      </bottom>
      <diagonal/>
    </border>
    <border>
      <left style="thin">
        <color indexed="64"/>
      </left>
      <right style="thin">
        <color rgb="FF505050"/>
      </right>
      <top/>
      <bottom style="thin">
        <color rgb="FF505050"/>
      </bottom>
      <diagonal/>
    </border>
    <border>
      <left style="thin">
        <color indexed="64"/>
      </left>
      <right/>
      <top style="thin">
        <color rgb="FF505050"/>
      </top>
      <bottom style="thin">
        <color rgb="FF505050"/>
      </bottom>
      <diagonal/>
    </border>
    <border>
      <left/>
      <right style="thin">
        <color indexed="64"/>
      </right>
      <top style="thin">
        <color rgb="FF505050"/>
      </top>
      <bottom style="thin">
        <color rgb="FF505050"/>
      </bottom>
      <diagonal/>
    </border>
    <border>
      <left style="thin">
        <color rgb="FF505050"/>
      </left>
      <right style="thin">
        <color indexed="64"/>
      </right>
      <top style="thin">
        <color rgb="FF505050"/>
      </top>
      <bottom style="thin">
        <color rgb="FF505050"/>
      </bottom>
      <diagonal/>
    </border>
    <border>
      <left style="thin">
        <color indexed="64"/>
      </left>
      <right style="thin">
        <color rgb="FF505050"/>
      </right>
      <top style="thin">
        <color rgb="FF505050"/>
      </top>
      <bottom/>
      <diagonal/>
    </border>
    <border>
      <left style="thin">
        <color indexed="64"/>
      </left>
      <right/>
      <top style="thin">
        <color rgb="FF000000"/>
      </top>
      <bottom style="thin">
        <color rgb="FF000000"/>
      </bottom>
      <diagonal/>
    </border>
    <border>
      <left style="thin">
        <color rgb="FF505050"/>
      </left>
      <right style="thin">
        <color indexed="64"/>
      </right>
      <top style="thin">
        <color rgb="FF505050"/>
      </top>
      <bottom/>
      <diagonal/>
    </border>
    <border>
      <left style="thin">
        <color rgb="FF505050"/>
      </left>
      <right style="thin">
        <color indexed="64"/>
      </right>
      <top/>
      <bottom style="thin">
        <color rgb="FF505050"/>
      </bottom>
      <diagonal/>
    </border>
    <border>
      <left style="thin">
        <color indexed="64"/>
      </left>
      <right/>
      <top/>
      <bottom style="thin">
        <color rgb="FF000000"/>
      </bottom>
      <diagonal/>
    </border>
    <border>
      <left/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rgb="FF000000"/>
      </top>
      <bottom/>
      <diagonal/>
    </border>
    <border>
      <left/>
      <right style="thin">
        <color indexed="64"/>
      </right>
      <top style="thin">
        <color rgb="FF000000"/>
      </top>
      <bottom/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rgb="FF000000"/>
      </top>
      <bottom style="thin">
        <color rgb="FF505050"/>
      </bottom>
      <diagonal/>
    </border>
    <border>
      <left style="thin">
        <color indexed="64"/>
      </left>
      <right style="thin">
        <color rgb="FF505050"/>
      </right>
      <top/>
      <bottom/>
      <diagonal/>
    </border>
    <border>
      <left style="thin">
        <color rgb="FF000000"/>
      </left>
      <right/>
      <top/>
      <bottom/>
      <diagonal/>
    </border>
  </borders>
  <cellStyleXfs count="2">
    <xf numFmtId="0" fontId="0" fillId="0" borderId="0"/>
    <xf numFmtId="0" fontId="18" fillId="0" borderId="0" applyNumberFormat="0" applyFill="0" applyBorder="0" applyAlignment="0" applyProtection="0">
      <alignment vertical="top"/>
      <protection locked="0"/>
    </xf>
  </cellStyleXfs>
  <cellXfs count="280">
    <xf numFmtId="0" fontId="0" fillId="0" borderId="0" xfId="0" applyFont="1" applyAlignment="1"/>
    <xf numFmtId="0" fontId="3" fillId="0" borderId="0" xfId="0" applyFont="1"/>
    <xf numFmtId="0" fontId="27" fillId="0" borderId="0" xfId="0" applyFont="1"/>
    <xf numFmtId="0" fontId="3" fillId="0" borderId="0" xfId="0" applyFont="1" applyProtection="1">
      <protection hidden="1"/>
    </xf>
    <xf numFmtId="0" fontId="0" fillId="0" borderId="0" xfId="0" applyFont="1" applyAlignment="1" applyProtection="1">
      <protection hidden="1"/>
    </xf>
    <xf numFmtId="0" fontId="6" fillId="7" borderId="13" xfId="0" applyFont="1" applyFill="1" applyBorder="1" applyProtection="1">
      <protection hidden="1"/>
    </xf>
    <xf numFmtId="0" fontId="6" fillId="7" borderId="14" xfId="0" applyFont="1" applyFill="1" applyBorder="1" applyProtection="1">
      <protection hidden="1"/>
    </xf>
    <xf numFmtId="0" fontId="6" fillId="7" borderId="16" xfId="0" applyFont="1" applyFill="1" applyBorder="1" applyProtection="1">
      <protection hidden="1"/>
    </xf>
    <xf numFmtId="0" fontId="40" fillId="0" borderId="16" xfId="0" applyFont="1" applyBorder="1" applyAlignment="1" applyProtection="1">
      <protection hidden="1"/>
    </xf>
    <xf numFmtId="0" fontId="25" fillId="11" borderId="21" xfId="0" applyFont="1" applyFill="1" applyBorder="1" applyAlignment="1" applyProtection="1">
      <alignment horizontal="left" vertical="center"/>
      <protection hidden="1"/>
    </xf>
    <xf numFmtId="0" fontId="25" fillId="11" borderId="22" xfId="0" applyFont="1" applyFill="1" applyBorder="1" applyAlignment="1" applyProtection="1">
      <alignment horizontal="center" vertical="center"/>
      <protection hidden="1"/>
    </xf>
    <xf numFmtId="0" fontId="24" fillId="11" borderId="25" xfId="0" applyFont="1" applyFill="1" applyBorder="1" applyAlignment="1" applyProtection="1">
      <alignment horizontal="left" vertical="center"/>
      <protection hidden="1"/>
    </xf>
    <xf numFmtId="0" fontId="25" fillId="0" borderId="21" xfId="0" applyFont="1" applyBorder="1" applyAlignment="1" applyProtection="1">
      <alignment horizontal="center" vertical="center" wrapText="1"/>
      <protection hidden="1"/>
    </xf>
    <xf numFmtId="0" fontId="24" fillId="0" borderId="21" xfId="0" applyFont="1" applyBorder="1" applyAlignment="1" applyProtection="1">
      <alignment horizontal="center" vertical="center" wrapText="1"/>
      <protection hidden="1"/>
    </xf>
    <xf numFmtId="0" fontId="24" fillId="0" borderId="21" xfId="0" applyFont="1" applyBorder="1" applyAlignment="1" applyProtection="1">
      <alignment horizontal="center" vertical="center"/>
      <protection hidden="1"/>
    </xf>
    <xf numFmtId="0" fontId="26" fillId="0" borderId="21" xfId="0" applyFont="1" applyBorder="1" applyAlignment="1" applyProtection="1">
      <alignment horizontal="center" vertical="center" wrapText="1"/>
      <protection hidden="1"/>
    </xf>
    <xf numFmtId="3" fontId="3" fillId="0" borderId="21" xfId="0" applyNumberFormat="1" applyFont="1" applyBorder="1" applyAlignment="1" applyProtection="1">
      <alignment horizontal="center" vertical="center"/>
      <protection hidden="1"/>
    </xf>
    <xf numFmtId="3" fontId="27" fillId="0" borderId="21" xfId="0" applyNumberFormat="1" applyFont="1" applyBorder="1" applyAlignment="1" applyProtection="1">
      <alignment horizontal="center"/>
      <protection hidden="1"/>
    </xf>
    <xf numFmtId="0" fontId="3" fillId="11" borderId="21" xfId="0" applyFont="1" applyFill="1" applyBorder="1" applyAlignment="1" applyProtection="1">
      <alignment horizontal="center" vertical="center"/>
      <protection hidden="1"/>
    </xf>
    <xf numFmtId="0" fontId="27" fillId="11" borderId="21" xfId="0" applyFont="1" applyFill="1" applyBorder="1" applyAlignment="1" applyProtection="1">
      <alignment horizontal="center" vertical="center"/>
      <protection hidden="1"/>
    </xf>
    <xf numFmtId="3" fontId="27" fillId="12" borderId="21" xfId="0" applyNumberFormat="1" applyFont="1" applyFill="1" applyBorder="1" applyAlignment="1" applyProtection="1">
      <alignment horizontal="center" vertical="center"/>
      <protection hidden="1"/>
    </xf>
    <xf numFmtId="3" fontId="28" fillId="11" borderId="21" xfId="0" applyNumberFormat="1" applyFont="1" applyFill="1" applyBorder="1" applyAlignment="1" applyProtection="1">
      <alignment horizontal="center" vertical="center"/>
      <protection hidden="1"/>
    </xf>
    <xf numFmtId="3" fontId="27" fillId="0" borderId="26" xfId="0" applyNumberFormat="1" applyFont="1" applyBorder="1" applyAlignment="1" applyProtection="1">
      <alignment horizontal="center"/>
      <protection hidden="1"/>
    </xf>
    <xf numFmtId="3" fontId="30" fillId="0" borderId="21" xfId="0" applyNumberFormat="1" applyFont="1" applyBorder="1" applyAlignment="1" applyProtection="1">
      <alignment horizontal="center" vertical="center"/>
      <protection hidden="1"/>
    </xf>
    <xf numFmtId="3" fontId="28" fillId="12" borderId="21" xfId="0" applyNumberFormat="1" applyFont="1" applyFill="1" applyBorder="1" applyAlignment="1" applyProtection="1">
      <alignment horizontal="center" vertical="center"/>
      <protection hidden="1"/>
    </xf>
    <xf numFmtId="3" fontId="3" fillId="12" borderId="21" xfId="0" applyNumberFormat="1" applyFont="1" applyFill="1" applyBorder="1" applyAlignment="1" applyProtection="1">
      <alignment horizontal="center" vertical="center"/>
      <protection hidden="1"/>
    </xf>
    <xf numFmtId="3" fontId="24" fillId="11" borderId="21" xfId="0" applyNumberFormat="1" applyFont="1" applyFill="1" applyBorder="1" applyAlignment="1" applyProtection="1">
      <alignment horizontal="center" vertical="center"/>
      <protection hidden="1"/>
    </xf>
    <xf numFmtId="3" fontId="24" fillId="0" borderId="21" xfId="0" applyNumberFormat="1" applyFont="1" applyBorder="1" applyAlignment="1" applyProtection="1">
      <alignment horizontal="center" vertical="center"/>
      <protection hidden="1"/>
    </xf>
    <xf numFmtId="0" fontId="31" fillId="0" borderId="21" xfId="0" applyFont="1" applyBorder="1" applyAlignment="1" applyProtection="1">
      <alignment horizontal="center" vertical="center"/>
      <protection hidden="1"/>
    </xf>
    <xf numFmtId="3" fontId="31" fillId="0" borderId="21" xfId="0" applyNumberFormat="1" applyFont="1" applyBorder="1" applyAlignment="1" applyProtection="1">
      <alignment horizontal="center" vertical="center"/>
      <protection hidden="1"/>
    </xf>
    <xf numFmtId="3" fontId="25" fillId="0" borderId="21" xfId="0" applyNumberFormat="1" applyFont="1" applyBorder="1" applyAlignment="1" applyProtection="1">
      <alignment horizontal="center" vertical="center"/>
      <protection hidden="1"/>
    </xf>
    <xf numFmtId="0" fontId="32" fillId="0" borderId="21" xfId="0" applyFont="1" applyBorder="1" applyAlignment="1" applyProtection="1">
      <alignment horizontal="center" vertical="center"/>
      <protection hidden="1"/>
    </xf>
    <xf numFmtId="3" fontId="32" fillId="0" borderId="21" xfId="0" applyNumberFormat="1" applyFont="1" applyBorder="1" applyAlignment="1" applyProtection="1">
      <alignment horizontal="center" vertical="center"/>
      <protection hidden="1"/>
    </xf>
    <xf numFmtId="3" fontId="9" fillId="0" borderId="21" xfId="0" applyNumberFormat="1" applyFont="1" applyBorder="1" applyAlignment="1" applyProtection="1">
      <alignment horizontal="center" vertical="center"/>
      <protection hidden="1"/>
    </xf>
    <xf numFmtId="0" fontId="3" fillId="0" borderId="21" xfId="0" applyFont="1" applyBorder="1" applyAlignment="1" applyProtection="1">
      <alignment horizontal="center"/>
      <protection hidden="1"/>
    </xf>
    <xf numFmtId="0" fontId="24" fillId="0" borderId="20" xfId="0" applyFont="1" applyBorder="1" applyProtection="1">
      <protection hidden="1"/>
    </xf>
    <xf numFmtId="0" fontId="3" fillId="0" borderId="27" xfId="0" applyFont="1" applyBorder="1" applyAlignment="1" applyProtection="1">
      <alignment horizontal="center"/>
      <protection hidden="1"/>
    </xf>
    <xf numFmtId="0" fontId="3" fillId="0" borderId="21" xfId="0" applyFont="1" applyBorder="1" applyAlignment="1" applyProtection="1">
      <alignment horizontal="center" vertical="center"/>
      <protection hidden="1"/>
    </xf>
    <xf numFmtId="0" fontId="3" fillId="0" borderId="26" xfId="0" applyFont="1" applyBorder="1" applyAlignment="1" applyProtection="1">
      <alignment horizontal="left"/>
      <protection hidden="1"/>
    </xf>
    <xf numFmtId="0" fontId="3" fillId="0" borderId="28" xfId="0" applyFont="1" applyBorder="1" applyAlignment="1" applyProtection="1">
      <alignment horizontal="center"/>
      <protection hidden="1"/>
    </xf>
    <xf numFmtId="0" fontId="3" fillId="0" borderId="27" xfId="0" applyFont="1" applyBorder="1" applyProtection="1">
      <protection hidden="1"/>
    </xf>
    <xf numFmtId="0" fontId="3" fillId="0" borderId="26" xfId="0" applyFont="1" applyBorder="1" applyAlignment="1" applyProtection="1">
      <alignment vertical="center"/>
      <protection hidden="1"/>
    </xf>
    <xf numFmtId="0" fontId="3" fillId="0" borderId="29" xfId="0" applyFont="1" applyBorder="1" applyAlignment="1" applyProtection="1">
      <alignment horizontal="center"/>
      <protection hidden="1"/>
    </xf>
    <xf numFmtId="0" fontId="3" fillId="0" borderId="21" xfId="0" applyFont="1" applyBorder="1" applyAlignment="1" applyProtection="1">
      <alignment vertical="center"/>
      <protection hidden="1"/>
    </xf>
    <xf numFmtId="9" fontId="3" fillId="0" borderId="21" xfId="0" applyNumberFormat="1" applyFont="1" applyBorder="1" applyAlignment="1" applyProtection="1">
      <alignment vertical="center"/>
      <protection hidden="1"/>
    </xf>
    <xf numFmtId="0" fontId="3" fillId="0" borderId="20" xfId="0" applyFont="1" applyBorder="1" applyAlignment="1" applyProtection="1">
      <alignment horizontal="center"/>
      <protection hidden="1"/>
    </xf>
    <xf numFmtId="0" fontId="3" fillId="0" borderId="30" xfId="0" applyFont="1" applyBorder="1" applyAlignment="1" applyProtection="1">
      <alignment horizontal="center"/>
      <protection hidden="1"/>
    </xf>
    <xf numFmtId="0" fontId="3" fillId="0" borderId="27" xfId="0" applyFont="1" applyBorder="1" applyAlignment="1" applyProtection="1">
      <alignment horizontal="left" vertical="center"/>
      <protection hidden="1"/>
    </xf>
    <xf numFmtId="0" fontId="3" fillId="0" borderId="27" xfId="0" applyFont="1" applyBorder="1" applyAlignment="1" applyProtection="1">
      <alignment vertical="center"/>
      <protection hidden="1"/>
    </xf>
    <xf numFmtId="9" fontId="3" fillId="0" borderId="27" xfId="0" applyNumberFormat="1" applyFont="1" applyBorder="1" applyAlignment="1" applyProtection="1">
      <alignment vertical="center"/>
      <protection hidden="1"/>
    </xf>
    <xf numFmtId="0" fontId="24" fillId="0" borderId="31" xfId="0" applyFont="1" applyBorder="1" applyAlignment="1" applyProtection="1">
      <alignment vertical="center"/>
      <protection hidden="1"/>
    </xf>
    <xf numFmtId="0" fontId="3" fillId="0" borderId="31" xfId="0" applyFont="1" applyBorder="1" applyAlignment="1" applyProtection="1">
      <alignment vertical="center"/>
      <protection hidden="1"/>
    </xf>
    <xf numFmtId="0" fontId="24" fillId="0" borderId="31" xfId="0" applyFont="1" applyBorder="1" applyProtection="1">
      <protection hidden="1"/>
    </xf>
    <xf numFmtId="3" fontId="34" fillId="0" borderId="21" xfId="0" applyNumberFormat="1" applyFont="1" applyBorder="1" applyAlignment="1" applyProtection="1">
      <alignment horizontal="center" vertical="center"/>
      <protection hidden="1"/>
    </xf>
    <xf numFmtId="49" fontId="27" fillId="0" borderId="23" xfId="0" applyNumberFormat="1" applyFont="1" applyBorder="1" applyProtection="1">
      <protection hidden="1"/>
    </xf>
    <xf numFmtId="0" fontId="27" fillId="0" borderId="23" xfId="0" applyFont="1" applyBorder="1" applyAlignment="1" applyProtection="1">
      <protection hidden="1"/>
    </xf>
    <xf numFmtId="49" fontId="27" fillId="0" borderId="36" xfId="0" applyNumberFormat="1" applyFont="1" applyBorder="1" applyAlignment="1" applyProtection="1">
      <protection hidden="1"/>
    </xf>
    <xf numFmtId="49" fontId="27" fillId="0" borderId="36" xfId="0" applyNumberFormat="1" applyFont="1" applyBorder="1" applyProtection="1">
      <protection hidden="1"/>
    </xf>
    <xf numFmtId="49" fontId="27" fillId="0" borderId="37" xfId="0" applyNumberFormat="1" applyFont="1" applyBorder="1" applyProtection="1">
      <protection hidden="1"/>
    </xf>
    <xf numFmtId="9" fontId="27" fillId="0" borderId="37" xfId="0" applyNumberFormat="1" applyFont="1" applyBorder="1" applyAlignment="1" applyProtection="1">
      <alignment horizontal="right"/>
      <protection hidden="1"/>
    </xf>
    <xf numFmtId="0" fontId="24" fillId="0" borderId="44" xfId="0" applyFont="1" applyBorder="1" applyAlignment="1" applyProtection="1">
      <alignment horizontal="left"/>
      <protection hidden="1"/>
    </xf>
    <xf numFmtId="0" fontId="24" fillId="11" borderId="45" xfId="0" applyFont="1" applyFill="1" applyBorder="1" applyAlignment="1" applyProtection="1">
      <alignment horizontal="center"/>
      <protection hidden="1"/>
    </xf>
    <xf numFmtId="0" fontId="24" fillId="0" borderId="47" xfId="0" applyFont="1" applyBorder="1" applyAlignment="1" applyProtection="1">
      <alignment horizontal="left"/>
      <protection hidden="1"/>
    </xf>
    <xf numFmtId="0" fontId="24" fillId="0" borderId="48" xfId="0" applyFont="1" applyBorder="1" applyAlignment="1" applyProtection="1">
      <alignment horizontal="left"/>
      <protection hidden="1"/>
    </xf>
    <xf numFmtId="0" fontId="3" fillId="0" borderId="42" xfId="0" applyFont="1" applyBorder="1" applyAlignment="1" applyProtection="1">
      <alignment horizontal="left"/>
      <protection hidden="1"/>
    </xf>
    <xf numFmtId="0" fontId="3" fillId="0" borderId="35" xfId="0" applyFont="1" applyBorder="1" applyAlignment="1" applyProtection="1">
      <alignment horizontal="left"/>
      <protection hidden="1"/>
    </xf>
    <xf numFmtId="0" fontId="3" fillId="0" borderId="43" xfId="0" applyFont="1" applyBorder="1" applyAlignment="1" applyProtection="1">
      <alignment horizontal="left"/>
      <protection hidden="1"/>
    </xf>
    <xf numFmtId="0" fontId="24" fillId="0" borderId="44" xfId="0" applyFont="1" applyBorder="1" applyAlignment="1" applyProtection="1">
      <alignment horizontal="center" vertical="center"/>
      <protection hidden="1"/>
    </xf>
    <xf numFmtId="0" fontId="24" fillId="0" borderId="50" xfId="0" applyFont="1" applyBorder="1" applyAlignment="1" applyProtection="1">
      <alignment horizontal="center" vertical="center"/>
      <protection hidden="1"/>
    </xf>
    <xf numFmtId="17" fontId="24" fillId="0" borderId="44" xfId="0" applyNumberFormat="1" applyFont="1" applyBorder="1" applyAlignment="1" applyProtection="1">
      <alignment horizontal="center"/>
      <protection hidden="1"/>
    </xf>
    <xf numFmtId="3" fontId="29" fillId="0" borderId="50" xfId="0" applyNumberFormat="1" applyFont="1" applyBorder="1" applyAlignment="1" applyProtection="1">
      <alignment horizontal="center" vertical="center"/>
      <protection hidden="1"/>
    </xf>
    <xf numFmtId="3" fontId="31" fillId="0" borderId="50" xfId="0" applyNumberFormat="1" applyFont="1" applyBorder="1" applyAlignment="1" applyProtection="1">
      <alignment horizontal="center" vertical="center"/>
      <protection hidden="1"/>
    </xf>
    <xf numFmtId="0" fontId="3" fillId="0" borderId="42" xfId="0" applyFont="1" applyBorder="1" applyProtection="1">
      <protection hidden="1"/>
    </xf>
    <xf numFmtId="0" fontId="3" fillId="0" borderId="35" xfId="0" applyFont="1" applyBorder="1" applyProtection="1">
      <protection hidden="1"/>
    </xf>
    <xf numFmtId="0" fontId="3" fillId="0" borderId="43" xfId="0" applyFont="1" applyBorder="1" applyProtection="1">
      <protection hidden="1"/>
    </xf>
    <xf numFmtId="3" fontId="3" fillId="11" borderId="50" xfId="0" applyNumberFormat="1" applyFont="1" applyFill="1" applyBorder="1" applyAlignment="1" applyProtection="1">
      <alignment horizontal="center" vertical="center"/>
      <protection hidden="1"/>
    </xf>
    <xf numFmtId="0" fontId="24" fillId="0" borderId="22" xfId="0" applyFont="1" applyBorder="1" applyProtection="1">
      <protection hidden="1"/>
    </xf>
    <xf numFmtId="0" fontId="24" fillId="0" borderId="25" xfId="0" applyFont="1" applyBorder="1" applyProtection="1">
      <protection hidden="1"/>
    </xf>
    <xf numFmtId="3" fontId="3" fillId="12" borderId="50" xfId="0" applyNumberFormat="1" applyFont="1" applyFill="1" applyBorder="1" applyAlignment="1" applyProtection="1">
      <alignment horizontal="center"/>
      <protection hidden="1"/>
    </xf>
    <xf numFmtId="3" fontId="3" fillId="11" borderId="50" xfId="0" applyNumberFormat="1" applyFont="1" applyFill="1" applyBorder="1" applyAlignment="1" applyProtection="1">
      <alignment horizontal="center"/>
      <protection hidden="1"/>
    </xf>
    <xf numFmtId="0" fontId="3" fillId="0" borderId="44" xfId="0" applyFont="1" applyBorder="1" applyAlignment="1" applyProtection="1">
      <alignment horizontal="left"/>
      <protection hidden="1"/>
    </xf>
    <xf numFmtId="0" fontId="3" fillId="0" borderId="25" xfId="0" applyFont="1" applyBorder="1" applyAlignment="1" applyProtection="1">
      <alignment horizontal="left"/>
      <protection hidden="1"/>
    </xf>
    <xf numFmtId="0" fontId="3" fillId="0" borderId="51" xfId="0" applyFont="1" applyBorder="1" applyAlignment="1" applyProtection="1">
      <alignment horizontal="left"/>
      <protection hidden="1"/>
    </xf>
    <xf numFmtId="0" fontId="3" fillId="0" borderId="47" xfId="0" applyFont="1" applyBorder="1" applyAlignment="1" applyProtection="1">
      <alignment horizontal="left"/>
      <protection hidden="1"/>
    </xf>
    <xf numFmtId="3" fontId="3" fillId="0" borderId="53" xfId="0" applyNumberFormat="1" applyFont="1" applyBorder="1" applyAlignment="1" applyProtection="1">
      <alignment horizontal="center"/>
      <protection hidden="1"/>
    </xf>
    <xf numFmtId="3" fontId="31" fillId="0" borderId="49" xfId="0" applyNumberFormat="1" applyFont="1" applyBorder="1" applyAlignment="1" applyProtection="1">
      <alignment horizontal="center" vertical="center"/>
      <protection hidden="1"/>
    </xf>
    <xf numFmtId="0" fontId="3" fillId="0" borderId="54" xfId="0" applyFont="1" applyBorder="1" applyAlignment="1" applyProtection="1">
      <alignment horizontal="center" vertical="center"/>
      <protection hidden="1"/>
    </xf>
    <xf numFmtId="0" fontId="3" fillId="0" borderId="22" xfId="0" applyFont="1" applyBorder="1" applyAlignment="1" applyProtection="1">
      <alignment vertical="center"/>
      <protection hidden="1"/>
    </xf>
    <xf numFmtId="0" fontId="3" fillId="0" borderId="22" xfId="0" applyFont="1" applyBorder="1" applyAlignment="1" applyProtection="1">
      <alignment horizontal="left" vertical="center"/>
      <protection hidden="1"/>
    </xf>
    <xf numFmtId="0" fontId="3" fillId="0" borderId="25" xfId="0" applyFont="1" applyBorder="1" applyAlignment="1" applyProtection="1">
      <alignment vertical="center"/>
      <protection hidden="1"/>
    </xf>
    <xf numFmtId="3" fontId="3" fillId="0" borderId="50" xfId="0" applyNumberFormat="1" applyFont="1" applyBorder="1" applyAlignment="1" applyProtection="1">
      <alignment horizontal="center" vertical="center"/>
      <protection hidden="1"/>
    </xf>
    <xf numFmtId="3" fontId="3" fillId="0" borderId="53" xfId="0" applyNumberFormat="1" applyFont="1" applyBorder="1" applyAlignment="1" applyProtection="1">
      <alignment horizontal="center" vertical="center"/>
      <protection hidden="1"/>
    </xf>
    <xf numFmtId="3" fontId="3" fillId="0" borderId="50" xfId="0" applyNumberFormat="1" applyFont="1" applyBorder="1" applyAlignment="1" applyProtection="1">
      <alignment horizontal="center"/>
      <protection hidden="1"/>
    </xf>
    <xf numFmtId="0" fontId="3" fillId="0" borderId="35" xfId="0" applyFont="1" applyBorder="1" applyAlignment="1" applyProtection="1">
      <alignment vertical="center"/>
      <protection hidden="1"/>
    </xf>
    <xf numFmtId="3" fontId="31" fillId="0" borderId="50" xfId="0" applyNumberFormat="1" applyFont="1" applyBorder="1" applyAlignment="1" applyProtection="1">
      <alignment horizontal="center"/>
      <protection hidden="1"/>
    </xf>
    <xf numFmtId="0" fontId="3" fillId="0" borderId="57" xfId="0" applyFont="1" applyBorder="1" applyProtection="1">
      <protection hidden="1"/>
    </xf>
    <xf numFmtId="0" fontId="3" fillId="0" borderId="58" xfId="0" applyFont="1" applyBorder="1" applyProtection="1">
      <protection hidden="1"/>
    </xf>
    <xf numFmtId="0" fontId="3" fillId="0" borderId="59" xfId="0" applyFont="1" applyBorder="1" applyProtection="1">
      <protection hidden="1"/>
    </xf>
    <xf numFmtId="3" fontId="35" fillId="0" borderId="50" xfId="0" applyNumberFormat="1" applyFont="1" applyBorder="1" applyAlignment="1" applyProtection="1">
      <alignment horizontal="center" vertical="center"/>
      <protection hidden="1"/>
    </xf>
    <xf numFmtId="49" fontId="27" fillId="0" borderId="63" xfId="0" applyNumberFormat="1" applyFont="1" applyBorder="1" applyAlignment="1" applyProtection="1">
      <alignment horizontal="center"/>
      <protection hidden="1"/>
    </xf>
    <xf numFmtId="49" fontId="27" fillId="0" borderId="47" xfId="0" applyNumberFormat="1" applyFont="1" applyBorder="1" applyAlignment="1" applyProtection="1">
      <alignment horizontal="center"/>
      <protection hidden="1"/>
    </xf>
    <xf numFmtId="49" fontId="27" fillId="0" borderId="44" xfId="0" applyNumberFormat="1" applyFont="1" applyBorder="1" applyAlignment="1" applyProtection="1">
      <alignment horizontal="center"/>
      <protection hidden="1"/>
    </xf>
    <xf numFmtId="0" fontId="27" fillId="0" borderId="47" xfId="0" applyFont="1" applyBorder="1" applyAlignment="1" applyProtection="1">
      <alignment horizontal="center"/>
      <protection hidden="1"/>
    </xf>
    <xf numFmtId="0" fontId="27" fillId="0" borderId="65" xfId="0" applyFont="1" applyBorder="1" applyAlignment="1" applyProtection="1">
      <alignment horizontal="center"/>
      <protection hidden="1"/>
    </xf>
    <xf numFmtId="0" fontId="27" fillId="0" borderId="60" xfId="0" applyFont="1" applyBorder="1" applyProtection="1">
      <protection hidden="1"/>
    </xf>
    <xf numFmtId="0" fontId="27" fillId="0" borderId="18" xfId="0" applyFont="1" applyBorder="1" applyProtection="1">
      <protection hidden="1"/>
    </xf>
    <xf numFmtId="0" fontId="3" fillId="0" borderId="18" xfId="0" applyFont="1" applyBorder="1" applyProtection="1">
      <protection hidden="1"/>
    </xf>
    <xf numFmtId="0" fontId="3" fillId="0" borderId="18" xfId="0" applyFont="1" applyBorder="1" applyAlignment="1" applyProtection="1">
      <alignment horizontal="center"/>
      <protection hidden="1"/>
    </xf>
    <xf numFmtId="3" fontId="3" fillId="0" borderId="61" xfId="0" applyNumberFormat="1" applyFont="1" applyBorder="1" applyAlignment="1" applyProtection="1">
      <alignment horizontal="center"/>
      <protection hidden="1"/>
    </xf>
    <xf numFmtId="0" fontId="3" fillId="0" borderId="35" xfId="0" applyFont="1" applyBorder="1" applyAlignment="1" applyProtection="1">
      <alignment horizontal="center"/>
      <protection hidden="1"/>
    </xf>
    <xf numFmtId="0" fontId="27" fillId="0" borderId="43" xfId="0" applyFont="1" applyBorder="1" applyProtection="1">
      <protection hidden="1"/>
    </xf>
    <xf numFmtId="0" fontId="24" fillId="0" borderId="35" xfId="0" applyFont="1" applyBorder="1" applyProtection="1">
      <protection hidden="1"/>
    </xf>
    <xf numFmtId="0" fontId="3" fillId="0" borderId="0" xfId="0" applyFont="1" applyAlignment="1" applyProtection="1">
      <alignment vertical="center"/>
      <protection hidden="1"/>
    </xf>
    <xf numFmtId="0" fontId="0" fillId="0" borderId="0" xfId="0" applyFont="1" applyAlignment="1" applyProtection="1">
      <alignment vertical="center"/>
      <protection hidden="1"/>
    </xf>
    <xf numFmtId="0" fontId="46" fillId="0" borderId="21" xfId="0" applyFont="1" applyBorder="1" applyAlignment="1" applyProtection="1">
      <alignment horizontal="center" vertical="center" wrapText="1"/>
      <protection hidden="1"/>
    </xf>
    <xf numFmtId="0" fontId="40" fillId="0" borderId="0" xfId="0" applyFont="1" applyProtection="1">
      <protection hidden="1"/>
    </xf>
    <xf numFmtId="43" fontId="3" fillId="12" borderId="36" xfId="0" applyNumberFormat="1" applyFont="1" applyFill="1" applyBorder="1" applyAlignment="1" applyProtection="1">
      <alignment horizontal="center"/>
      <protection hidden="1"/>
    </xf>
    <xf numFmtId="0" fontId="2" fillId="0" borderId="36" xfId="0" applyFont="1" applyBorder="1" applyProtection="1">
      <protection hidden="1"/>
    </xf>
    <xf numFmtId="0" fontId="2" fillId="0" borderId="46" xfId="0" applyFont="1" applyBorder="1" applyProtection="1">
      <protection hidden="1"/>
    </xf>
    <xf numFmtId="49" fontId="3" fillId="12" borderId="60" xfId="0" applyNumberFormat="1" applyFont="1" applyFill="1" applyBorder="1" applyAlignment="1" applyProtection="1">
      <alignment horizontal="left" vertical="center" wrapText="1"/>
      <protection hidden="1"/>
    </xf>
    <xf numFmtId="0" fontId="2" fillId="0" borderId="18" xfId="0" applyFont="1" applyBorder="1" applyProtection="1">
      <protection hidden="1"/>
    </xf>
    <xf numFmtId="0" fontId="2" fillId="0" borderId="19" xfId="0" applyFont="1" applyBorder="1" applyProtection="1">
      <protection hidden="1"/>
    </xf>
    <xf numFmtId="0" fontId="2" fillId="0" borderId="55" xfId="0" applyFont="1" applyBorder="1" applyProtection="1">
      <protection hidden="1"/>
    </xf>
    <xf numFmtId="0" fontId="2" fillId="0" borderId="33" xfId="0" applyFont="1" applyBorder="1" applyProtection="1">
      <protection hidden="1"/>
    </xf>
    <xf numFmtId="0" fontId="2" fillId="0" borderId="34" xfId="0" applyFont="1" applyBorder="1" applyProtection="1">
      <protection hidden="1"/>
    </xf>
    <xf numFmtId="43" fontId="3" fillId="12" borderId="35" xfId="0" applyNumberFormat="1" applyFont="1" applyFill="1" applyBorder="1" applyAlignment="1" applyProtection="1">
      <alignment horizontal="center" vertical="center"/>
      <protection hidden="1"/>
    </xf>
    <xf numFmtId="0" fontId="2" fillId="0" borderId="35" xfId="0" applyFont="1" applyBorder="1" applyProtection="1">
      <protection hidden="1"/>
    </xf>
    <xf numFmtId="0" fontId="2" fillId="0" borderId="43" xfId="0" applyFont="1" applyBorder="1" applyProtection="1">
      <protection hidden="1"/>
    </xf>
    <xf numFmtId="49" fontId="24" fillId="12" borderId="52" xfId="0" applyNumberFormat="1" applyFont="1" applyFill="1" applyBorder="1" applyProtection="1">
      <protection hidden="1"/>
    </xf>
    <xf numFmtId="0" fontId="2" fillId="0" borderId="15" xfId="0" applyFont="1" applyBorder="1" applyProtection="1">
      <protection hidden="1"/>
    </xf>
    <xf numFmtId="0" fontId="2" fillId="0" borderId="16" xfId="0" applyFont="1" applyBorder="1" applyProtection="1">
      <protection hidden="1"/>
    </xf>
    <xf numFmtId="43" fontId="3" fillId="12" borderId="13" xfId="0" applyNumberFormat="1" applyFont="1" applyFill="1" applyBorder="1" applyAlignment="1" applyProtection="1">
      <alignment horizontal="center"/>
      <protection hidden="1"/>
    </xf>
    <xf numFmtId="0" fontId="2" fillId="0" borderId="62" xfId="0" applyFont="1" applyBorder="1" applyProtection="1">
      <protection hidden="1"/>
    </xf>
    <xf numFmtId="3" fontId="27" fillId="0" borderId="33" xfId="0" applyNumberFormat="1" applyFont="1" applyBorder="1" applyAlignment="1" applyProtection="1">
      <alignment horizontal="right"/>
      <protection hidden="1"/>
    </xf>
    <xf numFmtId="0" fontId="2" fillId="0" borderId="56" xfId="0" applyFont="1" applyBorder="1" applyProtection="1">
      <protection hidden="1"/>
    </xf>
    <xf numFmtId="3" fontId="27" fillId="0" borderId="36" xfId="0" applyNumberFormat="1" applyFont="1" applyBorder="1" applyAlignment="1" applyProtection="1">
      <alignment horizontal="right"/>
      <protection hidden="1"/>
    </xf>
    <xf numFmtId="49" fontId="32" fillId="0" borderId="42" xfId="0" applyNumberFormat="1" applyFont="1" applyBorder="1" applyAlignment="1" applyProtection="1">
      <alignment horizontal="center"/>
      <protection hidden="1"/>
    </xf>
    <xf numFmtId="0" fontId="0" fillId="0" borderId="35" xfId="0" applyFont="1" applyBorder="1" applyAlignment="1" applyProtection="1">
      <protection hidden="1"/>
    </xf>
    <xf numFmtId="0" fontId="0" fillId="0" borderId="43" xfId="0" applyFont="1" applyBorder="1" applyAlignment="1" applyProtection="1">
      <protection hidden="1"/>
    </xf>
    <xf numFmtId="49" fontId="27" fillId="0" borderId="13" xfId="0" applyNumberFormat="1" applyFont="1" applyBorder="1" applyAlignment="1" applyProtection="1">
      <alignment horizontal="center"/>
      <protection hidden="1"/>
    </xf>
    <xf numFmtId="43" fontId="3" fillId="12" borderId="13" xfId="0" applyNumberFormat="1" applyFont="1" applyFill="1" applyBorder="1" applyAlignment="1" applyProtection="1">
      <alignment horizontal="right"/>
      <protection hidden="1"/>
    </xf>
    <xf numFmtId="49" fontId="27" fillId="0" borderId="36" xfId="0" applyNumberFormat="1" applyFont="1" applyBorder="1" applyAlignment="1" applyProtection="1">
      <alignment horizontal="center"/>
      <protection hidden="1"/>
    </xf>
    <xf numFmtId="0" fontId="2" fillId="0" borderId="37" xfId="0" applyFont="1" applyBorder="1" applyProtection="1">
      <protection hidden="1"/>
    </xf>
    <xf numFmtId="3" fontId="27" fillId="0" borderId="36" xfId="0" applyNumberFormat="1" applyFont="1" applyBorder="1" applyAlignment="1" applyProtection="1">
      <alignment horizontal="center"/>
      <protection hidden="1"/>
    </xf>
    <xf numFmtId="49" fontId="27" fillId="0" borderId="35" xfId="0" applyNumberFormat="1" applyFont="1" applyBorder="1" applyAlignment="1" applyProtection="1">
      <alignment horizontal="center"/>
      <protection hidden="1"/>
    </xf>
    <xf numFmtId="0" fontId="2" fillId="0" borderId="31" xfId="0" applyFont="1" applyBorder="1" applyProtection="1">
      <protection hidden="1"/>
    </xf>
    <xf numFmtId="0" fontId="3" fillId="0" borderId="57" xfId="0" applyFont="1" applyBorder="1" applyAlignment="1" applyProtection="1">
      <alignment horizontal="center"/>
      <protection hidden="1"/>
    </xf>
    <xf numFmtId="0" fontId="2" fillId="0" borderId="58" xfId="0" applyFont="1" applyBorder="1" applyProtection="1">
      <protection hidden="1"/>
    </xf>
    <xf numFmtId="0" fontId="2" fillId="0" borderId="59" xfId="0" applyFont="1" applyBorder="1" applyProtection="1">
      <protection hidden="1"/>
    </xf>
    <xf numFmtId="49" fontId="27" fillId="0" borderId="36" xfId="0" applyNumberFormat="1" applyFont="1" applyBorder="1" applyProtection="1">
      <protection hidden="1"/>
    </xf>
    <xf numFmtId="0" fontId="27" fillId="0" borderId="36" xfId="0" applyFont="1" applyBorder="1" applyProtection="1">
      <protection hidden="1"/>
    </xf>
    <xf numFmtId="0" fontId="32" fillId="0" borderId="36" xfId="0" applyFont="1" applyBorder="1" applyProtection="1">
      <protection hidden="1"/>
    </xf>
    <xf numFmtId="0" fontId="16" fillId="0" borderId="35" xfId="0" applyFont="1" applyBorder="1" applyAlignment="1" applyProtection="1">
      <alignment horizontal="center"/>
      <protection hidden="1"/>
    </xf>
    <xf numFmtId="0" fontId="24" fillId="0" borderId="42" xfId="0" applyFont="1" applyBorder="1" applyAlignment="1" applyProtection="1">
      <alignment horizontal="center"/>
      <protection hidden="1"/>
    </xf>
    <xf numFmtId="0" fontId="24" fillId="11" borderId="20" xfId="0" applyFont="1" applyFill="1" applyBorder="1" applyAlignment="1" applyProtection="1">
      <alignment horizontal="center"/>
      <protection hidden="1"/>
    </xf>
    <xf numFmtId="0" fontId="2" fillId="0" borderId="22" xfId="0" applyFont="1" applyBorder="1" applyProtection="1">
      <protection hidden="1"/>
    </xf>
    <xf numFmtId="0" fontId="2" fillId="0" borderId="25" xfId="0" applyFont="1" applyBorder="1" applyProtection="1">
      <protection hidden="1"/>
    </xf>
    <xf numFmtId="0" fontId="24" fillId="11" borderId="29" xfId="0" applyFont="1" applyFill="1" applyBorder="1" applyAlignment="1" applyProtection="1">
      <alignment horizontal="left"/>
      <protection hidden="1"/>
    </xf>
    <xf numFmtId="1" fontId="24" fillId="11" borderId="29" xfId="0" applyNumberFormat="1" applyFont="1" applyFill="1" applyBorder="1" applyAlignment="1" applyProtection="1">
      <alignment horizontal="center"/>
      <protection hidden="1"/>
    </xf>
    <xf numFmtId="1" fontId="2" fillId="0" borderId="36" xfId="0" applyNumberFormat="1" applyFont="1" applyBorder="1" applyProtection="1">
      <protection hidden="1"/>
    </xf>
    <xf numFmtId="1" fontId="2" fillId="0" borderId="46" xfId="0" applyNumberFormat="1" applyFont="1" applyBorder="1" applyProtection="1">
      <protection hidden="1"/>
    </xf>
    <xf numFmtId="0" fontId="24" fillId="11" borderId="29" xfId="0" applyFont="1" applyFill="1" applyBorder="1" applyAlignment="1" applyProtection="1">
      <alignment horizontal="center"/>
      <protection hidden="1"/>
    </xf>
    <xf numFmtId="0" fontId="24" fillId="11" borderId="13" xfId="0" applyFont="1" applyFill="1" applyBorder="1" applyAlignment="1" applyProtection="1">
      <alignment horizontal="center"/>
      <protection hidden="1"/>
    </xf>
    <xf numFmtId="0" fontId="24" fillId="11" borderId="20" xfId="0" applyFont="1" applyFill="1" applyBorder="1" applyAlignment="1" applyProtection="1">
      <alignment horizontal="center" vertical="center"/>
      <protection hidden="1"/>
    </xf>
    <xf numFmtId="0" fontId="2" fillId="0" borderId="49" xfId="0" applyFont="1" applyBorder="1" applyProtection="1">
      <protection hidden="1"/>
    </xf>
    <xf numFmtId="0" fontId="24" fillId="11" borderId="20" xfId="0" applyFont="1" applyFill="1" applyBorder="1" applyAlignment="1" applyProtection="1">
      <alignment horizontal="left"/>
      <protection hidden="1"/>
    </xf>
    <xf numFmtId="0" fontId="3" fillId="0" borderId="48" xfId="0" applyFont="1" applyBorder="1" applyAlignment="1" applyProtection="1">
      <alignment horizontal="left" vertical="center"/>
      <protection hidden="1"/>
    </xf>
    <xf numFmtId="0" fontId="24" fillId="0" borderId="48" xfId="0" applyFont="1" applyBorder="1" applyAlignment="1" applyProtection="1">
      <alignment horizontal="center"/>
      <protection hidden="1"/>
    </xf>
    <xf numFmtId="0" fontId="26" fillId="0" borderId="48" xfId="0" applyFont="1" applyBorder="1" applyAlignment="1" applyProtection="1">
      <alignment horizontal="left" vertical="center"/>
      <protection hidden="1"/>
    </xf>
    <xf numFmtId="49" fontId="24" fillId="12" borderId="60" xfId="0" applyNumberFormat="1" applyFont="1" applyFill="1" applyBorder="1" applyAlignment="1" applyProtection="1">
      <alignment horizontal="center"/>
      <protection hidden="1"/>
    </xf>
    <xf numFmtId="0" fontId="2" fillId="0" borderId="61" xfId="0" applyFont="1" applyBorder="1" applyProtection="1">
      <protection hidden="1"/>
    </xf>
    <xf numFmtId="3" fontId="16" fillId="0" borderId="35" xfId="0" applyNumberFormat="1" applyFont="1" applyBorder="1" applyAlignment="1" applyProtection="1">
      <alignment horizontal="right"/>
      <protection hidden="1"/>
    </xf>
    <xf numFmtId="0" fontId="3" fillId="0" borderId="18" xfId="0" applyFont="1" applyBorder="1" applyAlignment="1" applyProtection="1">
      <alignment horizontal="left" vertical="center"/>
      <protection hidden="1"/>
    </xf>
    <xf numFmtId="0" fontId="24" fillId="0" borderId="35" xfId="0" applyFont="1" applyBorder="1" applyAlignment="1" applyProtection="1">
      <alignment horizontal="center"/>
      <protection hidden="1"/>
    </xf>
    <xf numFmtId="49" fontId="27" fillId="0" borderId="22" xfId="0" applyNumberFormat="1" applyFont="1" applyBorder="1" applyProtection="1">
      <protection hidden="1"/>
    </xf>
    <xf numFmtId="49" fontId="27" fillId="0" borderId="20" xfId="0" applyNumberFormat="1" applyFont="1" applyBorder="1" applyAlignment="1" applyProtection="1">
      <alignment horizontal="left"/>
      <protection hidden="1"/>
    </xf>
    <xf numFmtId="3" fontId="27" fillId="0" borderId="20" xfId="0" applyNumberFormat="1" applyFont="1" applyBorder="1" applyAlignment="1" applyProtection="1">
      <alignment horizontal="right"/>
      <protection hidden="1"/>
    </xf>
    <xf numFmtId="0" fontId="3" fillId="0" borderId="42" xfId="0" applyFont="1" applyBorder="1" applyAlignment="1" applyProtection="1">
      <alignment horizontal="center" vertical="center"/>
      <protection hidden="1"/>
    </xf>
    <xf numFmtId="49" fontId="27" fillId="0" borderId="36" xfId="0" applyNumberFormat="1" applyFont="1" applyBorder="1" applyAlignment="1" applyProtection="1">
      <protection hidden="1"/>
    </xf>
    <xf numFmtId="3" fontId="3" fillId="0" borderId="35" xfId="0" applyNumberFormat="1" applyFont="1" applyBorder="1" applyAlignment="1" applyProtection="1">
      <alignment horizontal="right"/>
      <protection hidden="1"/>
    </xf>
    <xf numFmtId="3" fontId="32" fillId="0" borderId="38" xfId="0" applyNumberFormat="1" applyFont="1" applyBorder="1" applyAlignment="1" applyProtection="1">
      <alignment horizontal="right"/>
      <protection hidden="1"/>
    </xf>
    <xf numFmtId="0" fontId="2" fillId="0" borderId="38" xfId="0" applyFont="1" applyBorder="1" applyProtection="1">
      <protection hidden="1"/>
    </xf>
    <xf numFmtId="0" fontId="2" fillId="0" borderId="64" xfId="0" applyFont="1" applyBorder="1" applyProtection="1">
      <protection hidden="1"/>
    </xf>
    <xf numFmtId="0" fontId="3" fillId="0" borderId="55" xfId="0" applyFont="1" applyBorder="1" applyAlignment="1" applyProtection="1">
      <alignment horizontal="center"/>
      <protection hidden="1"/>
    </xf>
    <xf numFmtId="0" fontId="22" fillId="0" borderId="39" xfId="0" applyFont="1" applyBorder="1" applyAlignment="1" applyProtection="1">
      <alignment horizontal="center" vertical="center"/>
      <protection hidden="1"/>
    </xf>
    <xf numFmtId="0" fontId="2" fillId="0" borderId="40" xfId="0" applyFont="1" applyBorder="1" applyProtection="1">
      <protection hidden="1"/>
    </xf>
    <xf numFmtId="0" fontId="2" fillId="0" borderId="41" xfId="0" applyFont="1" applyBorder="1" applyProtection="1">
      <protection hidden="1"/>
    </xf>
    <xf numFmtId="0" fontId="23" fillId="0" borderId="42" xfId="0" applyFont="1" applyBorder="1" applyAlignment="1" applyProtection="1">
      <alignment horizontal="center" vertical="center"/>
      <protection hidden="1"/>
    </xf>
    <xf numFmtId="3" fontId="24" fillId="11" borderId="20" xfId="0" applyNumberFormat="1" applyFont="1" applyFill="1" applyBorder="1" applyAlignment="1" applyProtection="1">
      <alignment horizontal="center"/>
      <protection hidden="1"/>
    </xf>
    <xf numFmtId="1" fontId="24" fillId="11" borderId="20" xfId="0" applyNumberFormat="1" applyFont="1" applyFill="1" applyBorder="1" applyAlignment="1" applyProtection="1">
      <alignment horizontal="center" vertical="center"/>
      <protection hidden="1"/>
    </xf>
    <xf numFmtId="164" fontId="24" fillId="11" borderId="13" xfId="0" applyNumberFormat="1" applyFont="1" applyFill="1" applyBorder="1" applyAlignment="1" applyProtection="1">
      <alignment horizontal="center"/>
      <protection hidden="1"/>
    </xf>
    <xf numFmtId="49" fontId="3" fillId="12" borderId="52" xfId="0" applyNumberFormat="1" applyFont="1" applyFill="1" applyBorder="1" applyProtection="1">
      <protection hidden="1"/>
    </xf>
    <xf numFmtId="43" fontId="24" fillId="12" borderId="36" xfId="0" applyNumberFormat="1" applyFont="1" applyFill="1" applyBorder="1" applyAlignment="1" applyProtection="1">
      <alignment horizontal="center"/>
      <protection hidden="1"/>
    </xf>
    <xf numFmtId="0" fontId="31" fillId="0" borderId="20" xfId="0" applyFont="1" applyBorder="1" applyAlignment="1" applyProtection="1">
      <alignment horizontal="center" vertical="center"/>
      <protection hidden="1"/>
    </xf>
    <xf numFmtId="49" fontId="44" fillId="8" borderId="1" xfId="0" applyNumberFormat="1" applyFont="1" applyFill="1" applyBorder="1" applyAlignment="1" applyProtection="1">
      <alignment horizontal="left" vertical="center" wrapText="1"/>
      <protection hidden="1"/>
    </xf>
    <xf numFmtId="0" fontId="2" fillId="0" borderId="2" xfId="0" applyFont="1" applyBorder="1" applyProtection="1">
      <protection hidden="1"/>
    </xf>
    <xf numFmtId="0" fontId="2" fillId="0" borderId="3" xfId="0" applyFont="1" applyBorder="1" applyProtection="1">
      <protection hidden="1"/>
    </xf>
    <xf numFmtId="43" fontId="17" fillId="8" borderId="1" xfId="0" applyNumberFormat="1" applyFont="1" applyFill="1" applyBorder="1" applyAlignment="1" applyProtection="1">
      <alignment horizontal="right" wrapText="1"/>
      <protection hidden="1"/>
    </xf>
    <xf numFmtId="0" fontId="3" fillId="0" borderId="13" xfId="0" applyFont="1" applyBorder="1" applyAlignment="1" applyProtection="1">
      <alignment horizontal="center"/>
      <protection hidden="1"/>
    </xf>
    <xf numFmtId="0" fontId="0" fillId="0" borderId="16" xfId="0" applyFont="1" applyBorder="1" applyAlignment="1" applyProtection="1">
      <protection hidden="1"/>
    </xf>
    <xf numFmtId="0" fontId="43" fillId="9" borderId="4" xfId="0" applyFont="1" applyFill="1" applyBorder="1" applyAlignment="1" applyProtection="1">
      <alignment horizontal="center" vertical="center" wrapText="1"/>
      <protection hidden="1"/>
    </xf>
    <xf numFmtId="0" fontId="2" fillId="0" borderId="5" xfId="0" applyFont="1" applyBorder="1" applyProtection="1">
      <protection hidden="1"/>
    </xf>
    <xf numFmtId="0" fontId="2" fillId="0" borderId="7" xfId="0" applyFont="1" applyBorder="1" applyProtection="1">
      <protection hidden="1"/>
    </xf>
    <xf numFmtId="0" fontId="20" fillId="10" borderId="4" xfId="0" applyFont="1" applyFill="1" applyBorder="1" applyAlignment="1" applyProtection="1">
      <alignment horizontal="center" vertical="center" wrapText="1"/>
      <protection hidden="1"/>
    </xf>
    <xf numFmtId="0" fontId="3" fillId="0" borderId="0" xfId="0" applyFont="1" applyAlignment="1" applyProtection="1">
      <alignment horizontal="center" vertical="center" wrapText="1"/>
      <protection hidden="1"/>
    </xf>
    <xf numFmtId="0" fontId="0" fillId="0" borderId="0" xfId="0" applyFont="1" applyAlignment="1" applyProtection="1">
      <protection hidden="1"/>
    </xf>
    <xf numFmtId="0" fontId="21" fillId="0" borderId="0" xfId="0" applyFont="1" applyAlignment="1" applyProtection="1">
      <alignment horizontal="center"/>
      <protection hidden="1"/>
    </xf>
    <xf numFmtId="0" fontId="2" fillId="0" borderId="40" xfId="0" applyFont="1" applyBorder="1" applyAlignment="1" applyProtection="1">
      <alignment vertical="center"/>
      <protection hidden="1"/>
    </xf>
    <xf numFmtId="0" fontId="2" fillId="0" borderId="41" xfId="0" applyFont="1" applyBorder="1" applyAlignment="1" applyProtection="1">
      <alignment vertical="center"/>
      <protection hidden="1"/>
    </xf>
    <xf numFmtId="0" fontId="3" fillId="0" borderId="20" xfId="0" applyFont="1" applyBorder="1" applyAlignment="1" applyProtection="1">
      <alignment horizontal="center" vertical="center"/>
      <protection hidden="1"/>
    </xf>
    <xf numFmtId="0" fontId="24" fillId="0" borderId="42" xfId="0" applyFont="1" applyBorder="1" applyAlignment="1" applyProtection="1">
      <alignment horizontal="center" vertical="center"/>
      <protection hidden="1"/>
    </xf>
    <xf numFmtId="0" fontId="3" fillId="0" borderId="20" xfId="0" applyFont="1" applyBorder="1" applyAlignment="1" applyProtection="1">
      <alignment horizontal="left" vertical="center"/>
      <protection hidden="1"/>
    </xf>
    <xf numFmtId="0" fontId="3" fillId="0" borderId="20" xfId="0" applyFont="1" applyBorder="1" applyAlignment="1" applyProtection="1">
      <alignment horizontal="left" wrapText="1"/>
      <protection hidden="1"/>
    </xf>
    <xf numFmtId="3" fontId="24" fillId="0" borderId="20" xfId="0" applyNumberFormat="1" applyFont="1" applyBorder="1" applyAlignment="1" applyProtection="1">
      <alignment horizontal="center"/>
      <protection hidden="1"/>
    </xf>
    <xf numFmtId="3" fontId="3" fillId="0" borderId="20" xfId="0" applyNumberFormat="1" applyFont="1" applyBorder="1" applyAlignment="1" applyProtection="1">
      <alignment horizontal="center" vertical="center"/>
      <protection hidden="1"/>
    </xf>
    <xf numFmtId="0" fontId="3" fillId="0" borderId="48" xfId="0" applyFont="1" applyBorder="1" applyAlignment="1" applyProtection="1">
      <alignment horizontal="left"/>
      <protection hidden="1"/>
    </xf>
    <xf numFmtId="0" fontId="3" fillId="0" borderId="52" xfId="0" applyFont="1" applyBorder="1" applyAlignment="1" applyProtection="1">
      <alignment horizontal="left" wrapText="1"/>
      <protection hidden="1"/>
    </xf>
    <xf numFmtId="0" fontId="24" fillId="0" borderId="20" xfId="0" applyFont="1" applyBorder="1" applyAlignment="1" applyProtection="1">
      <alignment horizontal="center" vertical="center"/>
      <protection hidden="1"/>
    </xf>
    <xf numFmtId="3" fontId="31" fillId="0" borderId="20" xfId="0" applyNumberFormat="1" applyFont="1" applyBorder="1" applyAlignment="1" applyProtection="1">
      <alignment horizontal="center" vertical="center"/>
      <protection hidden="1"/>
    </xf>
    <xf numFmtId="0" fontId="25" fillId="11" borderId="29" xfId="0" applyFont="1" applyFill="1" applyBorder="1" applyAlignment="1" applyProtection="1">
      <alignment horizontal="left"/>
      <protection hidden="1"/>
    </xf>
    <xf numFmtId="0" fontId="41" fillId="4" borderId="17" xfId="1" applyFont="1" applyFill="1" applyBorder="1" applyAlignment="1" applyProtection="1">
      <alignment horizontal="center" vertical="top"/>
      <protection hidden="1"/>
    </xf>
    <xf numFmtId="0" fontId="41" fillId="4" borderId="18" xfId="1" applyFont="1" applyFill="1" applyBorder="1" applyAlignment="1" applyProtection="1">
      <alignment horizontal="center" vertical="top"/>
      <protection hidden="1"/>
    </xf>
    <xf numFmtId="0" fontId="41" fillId="4" borderId="19" xfId="1" applyFont="1" applyFill="1" applyBorder="1" applyAlignment="1" applyProtection="1">
      <alignment horizontal="center" vertical="top"/>
      <protection hidden="1"/>
    </xf>
    <xf numFmtId="0" fontId="41" fillId="4" borderId="32" xfId="1" applyFont="1" applyFill="1" applyBorder="1" applyAlignment="1" applyProtection="1">
      <alignment horizontal="center" vertical="top"/>
      <protection hidden="1"/>
    </xf>
    <xf numFmtId="0" fontId="41" fillId="4" borderId="33" xfId="1" applyFont="1" applyFill="1" applyBorder="1" applyAlignment="1" applyProtection="1">
      <alignment horizontal="center" vertical="top"/>
      <protection hidden="1"/>
    </xf>
    <xf numFmtId="0" fontId="41" fillId="4" borderId="34" xfId="1" applyFont="1" applyFill="1" applyBorder="1" applyAlignment="1" applyProtection="1">
      <alignment horizontal="center" vertical="top"/>
      <protection hidden="1"/>
    </xf>
    <xf numFmtId="0" fontId="42" fillId="0" borderId="13" xfId="1" applyFont="1" applyBorder="1" applyAlignment="1" applyProtection="1">
      <alignment horizontal="center"/>
      <protection hidden="1"/>
    </xf>
    <xf numFmtId="0" fontId="42" fillId="0" borderId="15" xfId="1" applyFont="1" applyBorder="1" applyAlignment="1" applyProtection="1">
      <alignment horizontal="center"/>
      <protection hidden="1"/>
    </xf>
    <xf numFmtId="0" fontId="42" fillId="0" borderId="16" xfId="1" applyFont="1" applyBorder="1" applyAlignment="1" applyProtection="1">
      <alignment horizontal="center"/>
      <protection hidden="1"/>
    </xf>
    <xf numFmtId="0" fontId="8" fillId="7" borderId="1" xfId="0" applyFont="1" applyFill="1" applyBorder="1" applyAlignment="1" applyProtection="1">
      <alignment horizontal="center" vertical="center"/>
      <protection locked="0" hidden="1"/>
    </xf>
    <xf numFmtId="0" fontId="2" fillId="0" borderId="3" xfId="0" applyFont="1" applyBorder="1" applyProtection="1">
      <protection locked="0" hidden="1"/>
    </xf>
    <xf numFmtId="49" fontId="15" fillId="6" borderId="9" xfId="0" applyNumberFormat="1" applyFont="1" applyFill="1" applyBorder="1" applyAlignment="1" applyProtection="1">
      <alignment horizontal="center" wrapText="1"/>
      <protection hidden="1"/>
    </xf>
    <xf numFmtId="0" fontId="2" fillId="0" borderId="10" xfId="0" applyFont="1" applyBorder="1" applyProtection="1">
      <protection hidden="1"/>
    </xf>
    <xf numFmtId="0" fontId="2" fillId="0" borderId="11" xfId="0" applyFont="1" applyBorder="1" applyProtection="1">
      <protection hidden="1"/>
    </xf>
    <xf numFmtId="49" fontId="16" fillId="8" borderId="1" xfId="0" applyNumberFormat="1" applyFont="1" applyFill="1" applyBorder="1" applyAlignment="1" applyProtection="1">
      <alignment horizontal="left" vertical="center" wrapText="1"/>
      <protection hidden="1"/>
    </xf>
    <xf numFmtId="0" fontId="11" fillId="6" borderId="9" xfId="0" applyFont="1" applyFill="1" applyBorder="1" applyAlignment="1" applyProtection="1">
      <alignment horizontal="center" vertical="center" wrapText="1"/>
      <protection hidden="1"/>
    </xf>
    <xf numFmtId="0" fontId="6" fillId="7" borderId="1" xfId="0" applyFont="1" applyFill="1" applyBorder="1" applyAlignment="1" applyProtection="1">
      <alignment horizontal="left" vertical="center" wrapText="1"/>
      <protection hidden="1"/>
    </xf>
    <xf numFmtId="0" fontId="2" fillId="0" borderId="8" xfId="0" applyFont="1" applyBorder="1" applyProtection="1">
      <protection hidden="1"/>
    </xf>
    <xf numFmtId="3" fontId="3" fillId="11" borderId="20" xfId="0" applyNumberFormat="1" applyFont="1" applyFill="1" applyBorder="1" applyAlignment="1" applyProtection="1">
      <alignment horizontal="center"/>
      <protection hidden="1"/>
    </xf>
    <xf numFmtId="0" fontId="39" fillId="2" borderId="13" xfId="0" applyFont="1" applyFill="1" applyBorder="1" applyAlignment="1" applyProtection="1">
      <alignment horizontal="center" vertical="center" wrapText="1"/>
      <protection hidden="1"/>
    </xf>
    <xf numFmtId="0" fontId="0" fillId="0" borderId="15" xfId="0" applyFont="1" applyBorder="1" applyAlignment="1" applyProtection="1">
      <protection hidden="1"/>
    </xf>
    <xf numFmtId="0" fontId="39" fillId="13" borderId="15" xfId="0" applyFont="1" applyFill="1" applyBorder="1" applyAlignment="1" applyProtection="1">
      <alignment horizontal="center" vertical="center" wrapText="1"/>
      <protection hidden="1"/>
    </xf>
    <xf numFmtId="0" fontId="6" fillId="7" borderId="9" xfId="0" applyFont="1" applyFill="1" applyBorder="1" applyAlignment="1" applyProtection="1">
      <alignment horizontal="left" vertical="center" wrapText="1"/>
      <protection hidden="1"/>
    </xf>
    <xf numFmtId="0" fontId="2" fillId="0" borderId="12" xfId="0" applyFont="1" applyBorder="1" applyProtection="1">
      <protection hidden="1"/>
    </xf>
    <xf numFmtId="0" fontId="8" fillId="7" borderId="9" xfId="0" applyFont="1" applyFill="1" applyBorder="1" applyAlignment="1" applyProtection="1">
      <alignment horizontal="center" vertical="center"/>
      <protection locked="0" hidden="1"/>
    </xf>
    <xf numFmtId="0" fontId="2" fillId="0" borderId="11" xfId="0" applyFont="1" applyBorder="1" applyProtection="1">
      <protection locked="0" hidden="1"/>
    </xf>
    <xf numFmtId="0" fontId="6" fillId="7" borderId="15" xfId="0" applyFont="1" applyFill="1" applyBorder="1" applyAlignment="1" applyProtection="1">
      <alignment horizontal="center"/>
      <protection hidden="1"/>
    </xf>
    <xf numFmtId="0" fontId="12" fillId="7" borderId="1" xfId="0" applyFont="1" applyFill="1" applyBorder="1" applyAlignment="1" applyProtection="1">
      <alignment horizontal="left" vertical="center" wrapText="1"/>
      <protection hidden="1"/>
    </xf>
    <xf numFmtId="0" fontId="13" fillId="7" borderId="1" xfId="0" applyFont="1" applyFill="1" applyBorder="1" applyAlignment="1" applyProtection="1">
      <alignment horizontal="left" vertical="center"/>
      <protection hidden="1"/>
    </xf>
    <xf numFmtId="0" fontId="14" fillId="7" borderId="1" xfId="0" applyFont="1" applyFill="1" applyBorder="1" applyAlignment="1" applyProtection="1">
      <alignment horizontal="left" vertical="center"/>
      <protection hidden="1"/>
    </xf>
    <xf numFmtId="3" fontId="3" fillId="11" borderId="24" xfId="0" applyNumberFormat="1" applyFont="1" applyFill="1" applyBorder="1" applyAlignment="1" applyProtection="1">
      <alignment horizontal="center" vertical="center"/>
      <protection hidden="1"/>
    </xf>
    <xf numFmtId="0" fontId="33" fillId="0" borderId="48" xfId="0" applyFont="1" applyBorder="1" applyAlignment="1" applyProtection="1">
      <alignment horizontal="left"/>
      <protection hidden="1"/>
    </xf>
    <xf numFmtId="0" fontId="8" fillId="5" borderId="1" xfId="0" applyFont="1" applyFill="1" applyBorder="1" applyAlignment="1" applyProtection="1">
      <alignment horizontal="center" vertical="center"/>
      <protection locked="0" hidden="1"/>
    </xf>
    <xf numFmtId="0" fontId="9" fillId="5" borderId="1" xfId="0" applyFont="1" applyFill="1" applyBorder="1" applyAlignment="1" applyProtection="1">
      <alignment horizontal="left" vertical="center" wrapText="1"/>
      <protection hidden="1"/>
    </xf>
    <xf numFmtId="0" fontId="10" fillId="5" borderId="1" xfId="0" applyFont="1" applyFill="1" applyBorder="1" applyAlignment="1" applyProtection="1">
      <alignment horizontal="left" vertical="center" wrapText="1"/>
      <protection hidden="1"/>
    </xf>
    <xf numFmtId="3" fontId="3" fillId="11" borderId="20" xfId="0" applyNumberFormat="1" applyFont="1" applyFill="1" applyBorder="1" applyAlignment="1" applyProtection="1">
      <alignment horizontal="center" vertical="center"/>
      <protection hidden="1"/>
    </xf>
    <xf numFmtId="0" fontId="7" fillId="4" borderId="1" xfId="0" applyFont="1" applyFill="1" applyBorder="1" applyAlignment="1" applyProtection="1">
      <alignment horizontal="left" vertical="center" wrapText="1"/>
      <protection hidden="1"/>
    </xf>
    <xf numFmtId="1" fontId="8" fillId="4" borderId="1" xfId="0" applyNumberFormat="1" applyFont="1" applyFill="1" applyBorder="1" applyAlignment="1" applyProtection="1">
      <alignment horizontal="center" vertical="center"/>
      <protection locked="0" hidden="1"/>
    </xf>
    <xf numFmtId="0" fontId="8" fillId="4" borderId="1" xfId="0" applyFont="1" applyFill="1" applyBorder="1" applyAlignment="1" applyProtection="1">
      <alignment horizontal="center" vertical="center"/>
      <protection locked="0" hidden="1"/>
    </xf>
    <xf numFmtId="0" fontId="5" fillId="3" borderId="1" xfId="0" applyFont="1" applyFill="1" applyBorder="1" applyAlignment="1" applyProtection="1">
      <alignment horizontal="center"/>
      <protection locked="0" hidden="1"/>
    </xf>
    <xf numFmtId="0" fontId="8" fillId="4" borderId="4" xfId="0" applyFont="1" applyFill="1" applyBorder="1" applyAlignment="1" applyProtection="1">
      <alignment horizontal="center" vertical="center"/>
      <protection locked="0" hidden="1"/>
    </xf>
    <xf numFmtId="0" fontId="2" fillId="0" borderId="7" xfId="0" applyFont="1" applyBorder="1" applyProtection="1">
      <protection locked="0" hidden="1"/>
    </xf>
    <xf numFmtId="0" fontId="48" fillId="15" borderId="66" xfId="0" applyFont="1" applyFill="1" applyBorder="1" applyAlignment="1" applyProtection="1">
      <alignment horizontal="center" vertical="center" wrapText="1"/>
      <protection hidden="1"/>
    </xf>
    <xf numFmtId="0" fontId="48" fillId="15" borderId="35" xfId="0" applyFont="1" applyFill="1" applyBorder="1" applyAlignment="1" applyProtection="1">
      <alignment horizontal="center" vertical="center" wrapText="1"/>
      <protection hidden="1"/>
    </xf>
    <xf numFmtId="0" fontId="47" fillId="14" borderId="66" xfId="0" applyFont="1" applyFill="1" applyBorder="1" applyAlignment="1" applyProtection="1">
      <alignment horizontal="center"/>
      <protection locked="0" hidden="1"/>
    </xf>
    <xf numFmtId="0" fontId="47" fillId="14" borderId="35" xfId="0" applyFont="1" applyFill="1" applyBorder="1" applyAlignment="1" applyProtection="1">
      <alignment horizontal="center"/>
      <protection locked="0" hidden="1"/>
    </xf>
    <xf numFmtId="0" fontId="1" fillId="2" borderId="1" xfId="0" applyFont="1" applyFill="1" applyBorder="1" applyAlignment="1" applyProtection="1">
      <alignment horizontal="center" vertical="center"/>
      <protection hidden="1"/>
    </xf>
    <xf numFmtId="0" fontId="4" fillId="3" borderId="4" xfId="0" applyFont="1" applyFill="1" applyBorder="1" applyAlignment="1" applyProtection="1">
      <alignment horizontal="center" vertical="center" wrapText="1"/>
      <protection hidden="1"/>
    </xf>
    <xf numFmtId="0" fontId="2" fillId="0" borderId="6" xfId="0" applyFont="1" applyBorder="1" applyProtection="1">
      <protection hidden="1"/>
    </xf>
    <xf numFmtId="0" fontId="45" fillId="3" borderId="4" xfId="0" applyFont="1" applyFill="1" applyBorder="1" applyAlignment="1" applyProtection="1">
      <alignment horizontal="center"/>
      <protection locked="0" hidden="1"/>
    </xf>
    <xf numFmtId="0" fontId="4" fillId="3" borderId="1" xfId="0" applyFont="1" applyFill="1" applyBorder="1" applyAlignment="1" applyProtection="1">
      <alignment horizontal="center" vertical="center" wrapText="1"/>
      <protection hidden="1"/>
    </xf>
    <xf numFmtId="0" fontId="5" fillId="3" borderId="1" xfId="0" applyNumberFormat="1" applyFont="1" applyFill="1" applyBorder="1" applyAlignment="1" applyProtection="1">
      <alignment horizontal="center"/>
      <protection locked="0" hidden="1"/>
    </xf>
    <xf numFmtId="0" fontId="2" fillId="0" borderId="3" xfId="0" applyNumberFormat="1" applyFont="1" applyBorder="1" applyProtection="1">
      <protection locked="0" hidden="1"/>
    </xf>
    <xf numFmtId="1" fontId="5" fillId="3" borderId="1" xfId="0" applyNumberFormat="1" applyFont="1" applyFill="1" applyBorder="1" applyAlignment="1" applyProtection="1">
      <alignment horizontal="center"/>
      <protection locked="0" hidden="1"/>
    </xf>
    <xf numFmtId="1" fontId="2" fillId="0" borderId="3" xfId="0" applyNumberFormat="1" applyFont="1" applyBorder="1" applyProtection="1">
      <protection locked="0" hidden="1"/>
    </xf>
    <xf numFmtId="0" fontId="6" fillId="3" borderId="1" xfId="0" applyFont="1" applyFill="1" applyBorder="1" applyAlignment="1" applyProtection="1">
      <alignment horizontal="center" vertical="center" wrapText="1"/>
      <protection hidden="1"/>
    </xf>
    <xf numFmtId="14" fontId="24" fillId="11" borderId="13" xfId="0" applyNumberFormat="1" applyFont="1" applyFill="1" applyBorder="1" applyAlignment="1" applyProtection="1">
      <alignment horizontal="center"/>
      <protection hidden="1"/>
    </xf>
    <xf numFmtId="14" fontId="2" fillId="0" borderId="16" xfId="0" applyNumberFormat="1" applyFont="1" applyBorder="1" applyProtection="1">
      <protection hidden="1"/>
    </xf>
    <xf numFmtId="14" fontId="5" fillId="3" borderId="1" xfId="0" applyNumberFormat="1" applyFont="1" applyFill="1" applyBorder="1" applyAlignment="1" applyProtection="1">
      <alignment horizontal="center"/>
      <protection locked="0" hidden="1"/>
    </xf>
    <xf numFmtId="14" fontId="2" fillId="0" borderId="3" xfId="0" applyNumberFormat="1" applyFont="1" applyBorder="1" applyProtection="1">
      <protection locked="0" hidden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facebook.com/vikas.sir91/" TargetMode="External"/><Relationship Id="rId2" Type="http://schemas.openxmlformats.org/officeDocument/2006/relationships/image" Target="../media/image1.jpeg"/><Relationship Id="rId1" Type="http://schemas.openxmlformats.org/officeDocument/2006/relationships/hyperlink" Target="https://www.instagram.com/vikas.sir91/" TargetMode="External"/><Relationship Id="rId6" Type="http://schemas.openxmlformats.org/officeDocument/2006/relationships/image" Target="../media/image3.jpeg"/><Relationship Id="rId5" Type="http://schemas.openxmlformats.org/officeDocument/2006/relationships/hyperlink" Target="https://whatsapp.com/channel/0029Vb6v3JuIHphHZv533A0Q" TargetMode="External"/><Relationship Id="rId4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49</xdr:row>
      <xdr:rowOff>2</xdr:rowOff>
    </xdr:from>
    <xdr:to>
      <xdr:col>2</xdr:col>
      <xdr:colOff>541662</xdr:colOff>
      <xdr:row>49</xdr:row>
      <xdr:rowOff>1046603</xdr:rowOff>
    </xdr:to>
    <xdr:pic>
      <xdr:nvPicPr>
        <xdr:cNvPr id="11" name="Picture 10" descr="Gemini_Generated_Image_7jujg47jujg47juj.png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11714604"/>
          <a:ext cx="1689252" cy="1046601"/>
        </a:xfrm>
        <a:prstGeom prst="rect">
          <a:avLst/>
        </a:prstGeom>
      </xdr:spPr>
    </xdr:pic>
    <xdr:clientData/>
  </xdr:twoCellAnchor>
  <xdr:twoCellAnchor>
    <xdr:from>
      <xdr:col>6</xdr:col>
      <xdr:colOff>1</xdr:colOff>
      <xdr:row>49</xdr:row>
      <xdr:rowOff>1</xdr:rowOff>
    </xdr:from>
    <xdr:to>
      <xdr:col>8</xdr:col>
      <xdr:colOff>1</xdr:colOff>
      <xdr:row>50</xdr:row>
      <xdr:rowOff>0</xdr:rowOff>
    </xdr:to>
    <xdr:pic>
      <xdr:nvPicPr>
        <xdr:cNvPr id="12" name="Picture 11" descr="Gemini_Generated_Image_jijxhsjijxhsjijx (1).png">
          <a:hlinkClick xmlns:r="http://schemas.openxmlformats.org/officeDocument/2006/relationships" r:id="rId3"/>
        </xdr:cNvPr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3230218" y="11637066"/>
          <a:ext cx="1540566" cy="1051891"/>
        </a:xfrm>
        <a:prstGeom prst="rect">
          <a:avLst/>
        </a:prstGeom>
      </xdr:spPr>
    </xdr:pic>
    <xdr:clientData/>
  </xdr:twoCellAnchor>
  <xdr:twoCellAnchor>
    <xdr:from>
      <xdr:col>2</xdr:col>
      <xdr:colOff>530087</xdr:colOff>
      <xdr:row>48</xdr:row>
      <xdr:rowOff>381000</xdr:rowOff>
    </xdr:from>
    <xdr:to>
      <xdr:col>6</xdr:col>
      <xdr:colOff>0</xdr:colOff>
      <xdr:row>49</xdr:row>
      <xdr:rowOff>1051485</xdr:rowOff>
    </xdr:to>
    <xdr:pic>
      <xdr:nvPicPr>
        <xdr:cNvPr id="13" name="Picture 12" descr="photo_2025-12-18_21-27-53.jpg">
          <a:hlinkClick xmlns:r="http://schemas.openxmlformats.org/officeDocument/2006/relationships" r:id="rId5"/>
        </xdr:cNvPr>
        <xdr:cNvPicPr>
          <a:picLocks noChangeAspect="1"/>
        </xdr:cNvPicPr>
      </xdr:nvPicPr>
      <xdr:blipFill>
        <a:blip xmlns:r="http://schemas.openxmlformats.org/officeDocument/2006/relationships" r:embed="rId6" cstate="print"/>
        <a:srcRect l="25405" t="8073"/>
        <a:stretch>
          <a:fillRect/>
        </a:stretch>
      </xdr:blipFill>
      <xdr:spPr>
        <a:xfrm>
          <a:off x="1673087" y="11628783"/>
          <a:ext cx="1557130" cy="105976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instagram.com/vikas.sir91/" TargetMode="External"/><Relationship Id="rId1" Type="http://schemas.openxmlformats.org/officeDocument/2006/relationships/hyperlink" Target="https://www.facebook.com/vikas.sir91/" TargetMode="External"/><Relationship Id="rId6" Type="http://schemas.openxmlformats.org/officeDocument/2006/relationships/comments" Target="../comments1.xml"/><Relationship Id="rId5" Type="http://schemas.openxmlformats.org/officeDocument/2006/relationships/vmlDrawing" Target="../drawings/vmlDrawing1.vm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Z1001"/>
  <sheetViews>
    <sheetView showGridLines="0" showRowColHeaders="0" tabSelected="1" workbookViewId="0">
      <selection activeCell="G2" sqref="G2:H2"/>
    </sheetView>
  </sheetViews>
  <sheetFormatPr defaultColWidth="14.44140625" defaultRowHeight="15" customHeight="1"/>
  <cols>
    <col min="1" max="1" width="8.109375" style="4" customWidth="1"/>
    <col min="2" max="2" width="8.5546875" style="4" customWidth="1"/>
    <col min="3" max="3" width="8" style="4" customWidth="1"/>
    <col min="4" max="4" width="8.44140625" style="4" customWidth="1"/>
    <col min="5" max="5" width="7.33203125" style="4" customWidth="1"/>
    <col min="6" max="6" width="6.6640625" style="4" customWidth="1"/>
    <col min="7" max="7" width="9.33203125" style="4" customWidth="1"/>
    <col min="8" max="8" width="13.109375" style="4" customWidth="1"/>
    <col min="9" max="9" width="11" style="4" customWidth="1"/>
    <col min="10" max="11" width="8.88671875" style="4" customWidth="1"/>
    <col min="12" max="12" width="8" style="4" customWidth="1"/>
    <col min="13" max="13" width="11.5546875" style="4" customWidth="1"/>
    <col min="14" max="26" width="8.88671875" style="4" customWidth="1"/>
    <col min="27" max="16384" width="14.44140625" style="4"/>
  </cols>
  <sheetData>
    <row r="1" spans="1:26" ht="36.6">
      <c r="A1" s="266" t="s">
        <v>0</v>
      </c>
      <c r="B1" s="195"/>
      <c r="C1" s="195"/>
      <c r="D1" s="195"/>
      <c r="E1" s="195"/>
      <c r="F1" s="195"/>
      <c r="G1" s="195"/>
      <c r="H1" s="196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15.6">
      <c r="A2" s="267" t="s">
        <v>1</v>
      </c>
      <c r="B2" s="201"/>
      <c r="C2" s="201"/>
      <c r="D2" s="201"/>
      <c r="E2" s="201"/>
      <c r="F2" s="268"/>
      <c r="G2" s="269" t="s">
        <v>179</v>
      </c>
      <c r="H2" s="261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5.6">
      <c r="A3" s="270" t="s">
        <v>2</v>
      </c>
      <c r="B3" s="195"/>
      <c r="C3" s="195"/>
      <c r="D3" s="195"/>
      <c r="E3" s="195"/>
      <c r="F3" s="237"/>
      <c r="G3" s="271">
        <v>525032</v>
      </c>
      <c r="H3" s="272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5.6">
      <c r="A4" s="270" t="s">
        <v>3</v>
      </c>
      <c r="B4" s="195"/>
      <c r="C4" s="195"/>
      <c r="D4" s="195"/>
      <c r="E4" s="195"/>
      <c r="F4" s="237"/>
      <c r="G4" s="278">
        <v>33816</v>
      </c>
      <c r="H4" s="279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5.6">
      <c r="A5" s="270" t="s">
        <v>4</v>
      </c>
      <c r="B5" s="195"/>
      <c r="C5" s="195"/>
      <c r="D5" s="195"/>
      <c r="E5" s="195"/>
      <c r="F5" s="237"/>
      <c r="G5" s="259">
        <v>9807409730</v>
      </c>
      <c r="H5" s="230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15.6">
      <c r="A6" s="270" t="s">
        <v>5</v>
      </c>
      <c r="B6" s="195"/>
      <c r="C6" s="195"/>
      <c r="D6" s="195"/>
      <c r="E6" s="195"/>
      <c r="F6" s="237"/>
      <c r="G6" s="259" t="s">
        <v>6</v>
      </c>
      <c r="H6" s="230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15.6">
      <c r="A7" s="270" t="s">
        <v>7</v>
      </c>
      <c r="B7" s="195"/>
      <c r="C7" s="195"/>
      <c r="D7" s="195"/>
      <c r="E7" s="195"/>
      <c r="F7" s="237"/>
      <c r="G7" s="259" t="s">
        <v>8</v>
      </c>
      <c r="H7" s="230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15.6">
      <c r="A8" s="270" t="s">
        <v>9</v>
      </c>
      <c r="B8" s="195"/>
      <c r="C8" s="195"/>
      <c r="D8" s="195"/>
      <c r="E8" s="195"/>
      <c r="F8" s="237"/>
      <c r="G8" s="259" t="s">
        <v>10</v>
      </c>
      <c r="H8" s="230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15.6">
      <c r="A9" s="270" t="s">
        <v>11</v>
      </c>
      <c r="B9" s="195"/>
      <c r="C9" s="195"/>
      <c r="D9" s="195"/>
      <c r="E9" s="195"/>
      <c r="F9" s="237"/>
      <c r="G9" s="259" t="s">
        <v>12</v>
      </c>
      <c r="H9" s="230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15.6">
      <c r="A10" s="270" t="s">
        <v>13</v>
      </c>
      <c r="B10" s="195"/>
      <c r="C10" s="195"/>
      <c r="D10" s="195"/>
      <c r="E10" s="195"/>
      <c r="F10" s="237"/>
      <c r="G10" s="273">
        <v>39210110002424</v>
      </c>
      <c r="H10" s="274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15.6">
      <c r="A11" s="275" t="s">
        <v>14</v>
      </c>
      <c r="B11" s="195"/>
      <c r="C11" s="195"/>
      <c r="D11" s="195"/>
      <c r="E11" s="195"/>
      <c r="F11" s="237"/>
      <c r="G11" s="259" t="s">
        <v>15</v>
      </c>
      <c r="H11" s="230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15.6">
      <c r="A12" s="275" t="s">
        <v>16</v>
      </c>
      <c r="B12" s="195"/>
      <c r="C12" s="195"/>
      <c r="D12" s="195"/>
      <c r="E12" s="195"/>
      <c r="F12" s="237"/>
      <c r="G12" s="259" t="s">
        <v>17</v>
      </c>
      <c r="H12" s="230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18">
      <c r="A13" s="256" t="s">
        <v>18</v>
      </c>
      <c r="B13" s="195"/>
      <c r="C13" s="195"/>
      <c r="D13" s="195"/>
      <c r="E13" s="195"/>
      <c r="F13" s="196"/>
      <c r="G13" s="260">
        <v>66000</v>
      </c>
      <c r="H13" s="261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18">
      <c r="A14" s="256" t="s">
        <v>19</v>
      </c>
      <c r="B14" s="195"/>
      <c r="C14" s="195"/>
      <c r="D14" s="195"/>
      <c r="E14" s="195"/>
      <c r="F14" s="196"/>
      <c r="G14" s="257">
        <v>4200</v>
      </c>
      <c r="H14" s="230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18">
      <c r="A15" s="256" t="s">
        <v>20</v>
      </c>
      <c r="B15" s="195"/>
      <c r="C15" s="195"/>
      <c r="D15" s="195"/>
      <c r="E15" s="195"/>
      <c r="F15" s="196"/>
      <c r="G15" s="257">
        <v>1340</v>
      </c>
      <c r="H15" s="230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18">
      <c r="A16" s="256" t="s">
        <v>21</v>
      </c>
      <c r="B16" s="195"/>
      <c r="C16" s="195"/>
      <c r="D16" s="195"/>
      <c r="E16" s="195"/>
      <c r="F16" s="196"/>
      <c r="G16" s="257">
        <v>1</v>
      </c>
      <c r="H16" s="230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18">
      <c r="A17" s="256" t="s">
        <v>22</v>
      </c>
      <c r="B17" s="195"/>
      <c r="C17" s="195"/>
      <c r="D17" s="195"/>
      <c r="E17" s="195"/>
      <c r="F17" s="196"/>
      <c r="G17" s="257">
        <v>2</v>
      </c>
      <c r="H17" s="230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18">
      <c r="A18" s="256" t="s">
        <v>23</v>
      </c>
      <c r="B18" s="195"/>
      <c r="C18" s="195"/>
      <c r="D18" s="195"/>
      <c r="E18" s="195"/>
      <c r="F18" s="196"/>
      <c r="G18" s="257">
        <v>2</v>
      </c>
      <c r="H18" s="230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18">
      <c r="A19" s="256" t="s">
        <v>24</v>
      </c>
      <c r="B19" s="195"/>
      <c r="C19" s="195"/>
      <c r="D19" s="195"/>
      <c r="E19" s="195"/>
      <c r="F19" s="196"/>
      <c r="G19" s="258">
        <v>1</v>
      </c>
      <c r="H19" s="230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18" customHeight="1">
      <c r="A20" s="256" t="s">
        <v>25</v>
      </c>
      <c r="B20" s="195"/>
      <c r="C20" s="195"/>
      <c r="D20" s="195"/>
      <c r="E20" s="195"/>
      <c r="F20" s="196"/>
      <c r="G20" s="258">
        <v>2</v>
      </c>
      <c r="H20" s="230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29.25" customHeight="1">
      <c r="A21" s="256" t="s">
        <v>26</v>
      </c>
      <c r="B21" s="195"/>
      <c r="C21" s="195"/>
      <c r="D21" s="195"/>
      <c r="E21" s="195"/>
      <c r="F21" s="196"/>
      <c r="G21" s="258">
        <v>1</v>
      </c>
      <c r="H21" s="230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18" customHeight="1">
      <c r="A22" s="253" t="s">
        <v>27</v>
      </c>
      <c r="B22" s="195"/>
      <c r="C22" s="195"/>
      <c r="D22" s="195"/>
      <c r="E22" s="195"/>
      <c r="F22" s="196"/>
      <c r="G22" s="252">
        <v>2</v>
      </c>
      <c r="H22" s="230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18" customHeight="1">
      <c r="A23" s="254" t="s">
        <v>28</v>
      </c>
      <c r="B23" s="195"/>
      <c r="C23" s="195"/>
      <c r="D23" s="195"/>
      <c r="E23" s="195"/>
      <c r="F23" s="196"/>
      <c r="G23" s="252">
        <v>1</v>
      </c>
      <c r="H23" s="230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30" customHeight="1">
      <c r="A24" s="254" t="s">
        <v>29</v>
      </c>
      <c r="B24" s="195"/>
      <c r="C24" s="195"/>
      <c r="D24" s="195"/>
      <c r="E24" s="195"/>
      <c r="F24" s="196"/>
      <c r="G24" s="252">
        <v>2</v>
      </c>
      <c r="H24" s="230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15.75" customHeight="1">
      <c r="A25" s="253" t="s">
        <v>30</v>
      </c>
      <c r="B25" s="195"/>
      <c r="C25" s="195"/>
      <c r="D25" s="195"/>
      <c r="E25" s="195"/>
      <c r="F25" s="196"/>
      <c r="G25" s="252">
        <v>2</v>
      </c>
      <c r="H25" s="230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15.75" customHeight="1">
      <c r="A26" s="235" t="s">
        <v>31</v>
      </c>
      <c r="B26" s="232"/>
      <c r="C26" s="232"/>
      <c r="D26" s="232"/>
      <c r="E26" s="232"/>
      <c r="F26" s="232"/>
      <c r="G26" s="232"/>
      <c r="H26" s="23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15.75" customHeight="1">
      <c r="A27" s="236" t="s">
        <v>32</v>
      </c>
      <c r="B27" s="195"/>
      <c r="C27" s="195"/>
      <c r="D27" s="195"/>
      <c r="E27" s="195"/>
      <c r="F27" s="237"/>
      <c r="G27" s="229">
        <v>0</v>
      </c>
      <c r="H27" s="230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15.75" customHeight="1">
      <c r="A28" s="236" t="s">
        <v>33</v>
      </c>
      <c r="B28" s="195"/>
      <c r="C28" s="195"/>
      <c r="D28" s="195"/>
      <c r="E28" s="195"/>
      <c r="F28" s="237"/>
      <c r="G28" s="229">
        <v>0</v>
      </c>
      <c r="H28" s="230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15.75" customHeight="1">
      <c r="A29" s="236" t="s">
        <v>34</v>
      </c>
      <c r="B29" s="195"/>
      <c r="C29" s="195"/>
      <c r="D29" s="195"/>
      <c r="E29" s="195"/>
      <c r="F29" s="237"/>
      <c r="G29" s="229">
        <v>0</v>
      </c>
      <c r="H29" s="230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15.75" customHeight="1">
      <c r="A30" s="236" t="s">
        <v>35</v>
      </c>
      <c r="B30" s="195"/>
      <c r="C30" s="195"/>
      <c r="D30" s="195"/>
      <c r="E30" s="195"/>
      <c r="F30" s="237"/>
      <c r="G30" s="229">
        <v>0</v>
      </c>
      <c r="H30" s="230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15.75" customHeight="1">
      <c r="A31" s="236" t="s">
        <v>36</v>
      </c>
      <c r="B31" s="195"/>
      <c r="C31" s="195"/>
      <c r="D31" s="195"/>
      <c r="E31" s="195"/>
      <c r="F31" s="237"/>
      <c r="G31" s="229">
        <v>0</v>
      </c>
      <c r="H31" s="230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15.75" customHeight="1">
      <c r="A32" s="236" t="s">
        <v>37</v>
      </c>
      <c r="B32" s="195"/>
      <c r="C32" s="195"/>
      <c r="D32" s="195"/>
      <c r="E32" s="195"/>
      <c r="F32" s="237"/>
      <c r="G32" s="229">
        <v>0</v>
      </c>
      <c r="H32" s="230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15.75" customHeight="1">
      <c r="A33" s="236" t="s">
        <v>38</v>
      </c>
      <c r="B33" s="195"/>
      <c r="C33" s="195"/>
      <c r="D33" s="195"/>
      <c r="E33" s="195"/>
      <c r="F33" s="237"/>
      <c r="G33" s="229">
        <v>0</v>
      </c>
      <c r="H33" s="230"/>
      <c r="I33" s="262" t="s">
        <v>175</v>
      </c>
      <c r="J33" s="26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15.75" customHeight="1">
      <c r="A34" s="236" t="s">
        <v>39</v>
      </c>
      <c r="B34" s="195"/>
      <c r="C34" s="195"/>
      <c r="D34" s="195"/>
      <c r="E34" s="195"/>
      <c r="F34" s="237"/>
      <c r="G34" s="229">
        <v>0</v>
      </c>
      <c r="H34" s="230"/>
      <c r="I34" s="262"/>
      <c r="J34" s="26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15.75" customHeight="1">
      <c r="A35" s="236" t="s">
        <v>40</v>
      </c>
      <c r="B35" s="195"/>
      <c r="C35" s="195"/>
      <c r="D35" s="195"/>
      <c r="E35" s="195"/>
      <c r="F35" s="237"/>
      <c r="G35" s="229">
        <v>0</v>
      </c>
      <c r="H35" s="230"/>
      <c r="I35" s="262"/>
      <c r="J35" s="26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15.75" customHeight="1">
      <c r="A36" s="236" t="s">
        <v>41</v>
      </c>
      <c r="B36" s="195"/>
      <c r="C36" s="195"/>
      <c r="D36" s="195"/>
      <c r="E36" s="195"/>
      <c r="F36" s="237"/>
      <c r="G36" s="229">
        <v>0</v>
      </c>
      <c r="H36" s="230"/>
      <c r="I36" s="264"/>
      <c r="J36" s="265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15.75" customHeight="1">
      <c r="A37" s="242" t="s">
        <v>42</v>
      </c>
      <c r="B37" s="232"/>
      <c r="C37" s="232"/>
      <c r="D37" s="232"/>
      <c r="E37" s="232"/>
      <c r="F37" s="243"/>
      <c r="G37" s="244">
        <v>0</v>
      </c>
      <c r="H37" s="245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15.75" customHeight="1">
      <c r="A38" s="5" t="s">
        <v>43</v>
      </c>
      <c r="B38" s="6"/>
      <c r="C38" s="6"/>
      <c r="D38" s="246"/>
      <c r="E38" s="195"/>
      <c r="F38" s="196"/>
      <c r="G38" s="229">
        <v>0</v>
      </c>
      <c r="H38" s="230"/>
      <c r="I38" s="115" t="s">
        <v>176</v>
      </c>
      <c r="J38" s="115"/>
      <c r="K38" s="115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15.75" customHeight="1">
      <c r="A39" s="5" t="s">
        <v>44</v>
      </c>
      <c r="B39" s="6"/>
      <c r="C39" s="6"/>
      <c r="D39" s="6"/>
      <c r="E39" s="6"/>
      <c r="F39" s="7"/>
      <c r="G39" s="229">
        <v>0</v>
      </c>
      <c r="H39" s="230"/>
      <c r="I39" s="115" t="s">
        <v>177</v>
      </c>
      <c r="J39" s="115"/>
      <c r="K39" s="115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17.25" customHeight="1">
      <c r="A40" s="247" t="s">
        <v>45</v>
      </c>
      <c r="B40" s="195"/>
      <c r="C40" s="195"/>
      <c r="D40" s="195"/>
      <c r="E40" s="195"/>
      <c r="F40" s="196"/>
      <c r="G40" s="229">
        <v>0</v>
      </c>
      <c r="H40" s="230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15.75" customHeight="1">
      <c r="A41" s="248" t="s">
        <v>46</v>
      </c>
      <c r="B41" s="195"/>
      <c r="C41" s="195"/>
      <c r="D41" s="195"/>
      <c r="E41" s="195"/>
      <c r="F41" s="196"/>
      <c r="G41" s="229">
        <v>0</v>
      </c>
      <c r="H41" s="230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15.75" customHeight="1">
      <c r="A42" s="5" t="s">
        <v>47</v>
      </c>
      <c r="B42" s="6"/>
      <c r="C42" s="6"/>
      <c r="D42" s="6"/>
      <c r="E42" s="6"/>
      <c r="F42" s="7"/>
      <c r="G42" s="229">
        <v>0</v>
      </c>
      <c r="H42" s="230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15.75" customHeight="1">
      <c r="A43" s="249" t="s">
        <v>178</v>
      </c>
      <c r="B43" s="195"/>
      <c r="C43" s="195"/>
      <c r="D43" s="195"/>
      <c r="E43" s="195"/>
      <c r="F43" s="196"/>
      <c r="G43" s="229">
        <v>0</v>
      </c>
      <c r="H43" s="230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</row>
    <row r="44" spans="1:26" ht="15.75" customHeight="1">
      <c r="A44" s="249" t="s">
        <v>48</v>
      </c>
      <c r="B44" s="195"/>
      <c r="C44" s="195"/>
      <c r="D44" s="195"/>
      <c r="E44" s="195"/>
      <c r="F44" s="196"/>
      <c r="G44" s="229">
        <v>0</v>
      </c>
      <c r="H44" s="230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26.25" customHeight="1">
      <c r="A45" s="231" t="s">
        <v>49</v>
      </c>
      <c r="B45" s="232"/>
      <c r="C45" s="232"/>
      <c r="D45" s="232"/>
      <c r="E45" s="232"/>
      <c r="F45" s="232"/>
      <c r="G45" s="232"/>
      <c r="H45" s="23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30" customHeight="1">
      <c r="A46" s="234" t="s">
        <v>50</v>
      </c>
      <c r="B46" s="195"/>
      <c r="C46" s="195"/>
      <c r="D46" s="195"/>
      <c r="E46" s="195"/>
      <c r="F46" s="196"/>
      <c r="G46" s="197">
        <v>0</v>
      </c>
      <c r="H46" s="196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32.25" customHeight="1">
      <c r="A47" s="234" t="s">
        <v>51</v>
      </c>
      <c r="B47" s="195"/>
      <c r="C47" s="195"/>
      <c r="D47" s="195"/>
      <c r="E47" s="195"/>
      <c r="F47" s="196"/>
      <c r="G47" s="197">
        <v>0</v>
      </c>
      <c r="H47" s="196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33" customHeight="1">
      <c r="A48" s="234" t="s">
        <v>52</v>
      </c>
      <c r="B48" s="195"/>
      <c r="C48" s="195"/>
      <c r="D48" s="195"/>
      <c r="E48" s="195"/>
      <c r="F48" s="196"/>
      <c r="G48" s="197">
        <v>0</v>
      </c>
      <c r="H48" s="196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30.75" customHeight="1">
      <c r="A49" s="194" t="s">
        <v>53</v>
      </c>
      <c r="B49" s="195"/>
      <c r="C49" s="195"/>
      <c r="D49" s="195"/>
      <c r="E49" s="195"/>
      <c r="F49" s="196"/>
      <c r="G49" s="197">
        <v>0</v>
      </c>
      <c r="H49" s="196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83.25" customHeight="1">
      <c r="A50" s="239"/>
      <c r="B50" s="240"/>
      <c r="C50" s="240"/>
      <c r="D50" s="241"/>
      <c r="E50" s="240"/>
      <c r="F50" s="199"/>
      <c r="G50" s="198"/>
      <c r="H50" s="199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5.75" customHeight="1">
      <c r="A51" s="226" t="s">
        <v>172</v>
      </c>
      <c r="B51" s="227"/>
      <c r="C51" s="227"/>
      <c r="D51" s="8"/>
      <c r="E51" s="226" t="s">
        <v>173</v>
      </c>
      <c r="F51" s="227"/>
      <c r="G51" s="227"/>
      <c r="H51" s="228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5.75" customHeight="1">
      <c r="A52" s="220" t="s">
        <v>174</v>
      </c>
      <c r="B52" s="221"/>
      <c r="C52" s="221"/>
      <c r="D52" s="221"/>
      <c r="E52" s="221"/>
      <c r="F52" s="221"/>
      <c r="G52" s="221"/>
      <c r="H52" s="222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5.75" customHeight="1">
      <c r="A53" s="223"/>
      <c r="B53" s="224"/>
      <c r="C53" s="224"/>
      <c r="D53" s="224"/>
      <c r="E53" s="224"/>
      <c r="F53" s="224"/>
      <c r="G53" s="224"/>
      <c r="H53" s="225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44.25" customHeight="1">
      <c r="A54" s="200" t="s">
        <v>54</v>
      </c>
      <c r="B54" s="201"/>
      <c r="C54" s="201"/>
      <c r="D54" s="202"/>
      <c r="E54" s="203" t="str">
        <f>IF(H516&lt;M453,"New Tax Regime","Old Tax Regime")</f>
        <v>New Tax Regime</v>
      </c>
      <c r="F54" s="201"/>
      <c r="G54" s="201"/>
      <c r="H54" s="202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5.75" customHeight="1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3.5" customHeight="1">
      <c r="A56" s="204"/>
      <c r="B56" s="205"/>
      <c r="C56" s="205"/>
      <c r="D56" s="205"/>
      <c r="E56" s="205"/>
      <c r="F56" s="205"/>
      <c r="G56" s="206"/>
      <c r="H56" s="205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5.75" customHeight="1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5.75" customHeight="1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5.75" customHeight="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5.75" customHeight="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5.75" customHeight="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5.75" customHeight="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5.75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5.75" customHeight="1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5.75" customHeight="1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5.75" customHeight="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5.75" customHeight="1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5.75" customHeight="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5.75" customHeight="1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5.75" customHeight="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5.75" customHeight="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5.75" customHeight="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5.75" customHeight="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5.75" customHeight="1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5.75" customHeight="1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5.75" customHeight="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5.75" customHeight="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5.75" customHeight="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5.75" customHeigh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5.75" customHeight="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5.75" customHeight="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5.75" customHeight="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5.75" customHeigh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5.75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5.75" customHeigh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5.75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5.75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5.75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5.75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5.75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5.75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5.75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5.75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5.75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5.75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5.75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5.75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5.75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5.75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75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75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75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75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75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75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75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75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75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75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75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75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75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75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75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75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75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75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75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75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75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75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75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75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75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75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75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75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75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75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75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75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75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75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75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75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75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75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75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75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75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75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75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75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75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75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75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75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75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75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75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75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75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75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75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75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75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75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75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75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75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75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75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75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75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75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75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75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75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75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75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75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75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75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75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75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75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75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75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75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75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75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75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75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75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75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75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75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75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75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75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75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75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75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75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75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75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75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75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75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75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75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75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75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75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75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75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75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75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75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75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75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75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75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75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75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75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75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75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75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75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75" customHeight="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75" customHeight="1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75" customHeight="1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75" customHeight="1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75" customHeight="1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75" customHeight="1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75" customHeight="1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75" customHeight="1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75" customHeight="1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75" customHeight="1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75" customHeight="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75" customHeight="1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75" customHeight="1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75" customHeight="1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75" customHeight="1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75" customHeight="1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75" customHeight="1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75" customHeight="1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75" customHeight="1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75" customHeight="1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75" customHeight="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75" customHeight="1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75" customHeight="1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75" customHeight="1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75" customHeight="1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75" customHeight="1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75" customHeight="1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75" customHeight="1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75" customHeight="1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75" customHeight="1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75" customHeight="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75" customHeight="1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75" customHeight="1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75" customHeight="1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75" customHeight="1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75" customHeight="1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75" customHeight="1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75" customHeight="1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75" customHeight="1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75" customHeight="1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75" customHeight="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75" customHeight="1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75" customHeight="1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75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75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75" customHeight="1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75" customHeight="1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75" customHeight="1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75" customHeight="1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75" customHeight="1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75" customHeight="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75" customHeight="1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75" customHeight="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75" customHeight="1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75" customHeight="1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75" customHeight="1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75" customHeight="1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75" customHeight="1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75" customHeight="1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75" customHeight="1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75" customHeight="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75" customHeight="1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75" customHeight="1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75" customHeight="1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75" customHeight="1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75" customHeight="1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75" customHeight="1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75" customHeight="1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75" customHeight="1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75" customHeight="1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75" customHeight="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75" customHeight="1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75" customHeight="1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75" customHeight="1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75" customHeight="1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75" customHeight="1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75" customHeight="1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75" customHeight="1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75" customHeight="1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75" customHeight="1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75" customHeight="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75" customHeight="1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75" customHeight="1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75" customHeight="1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75" customHeight="1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75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75" customHeight="1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75" customHeight="1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75" customHeight="1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75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75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75" customHeight="1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75" customHeight="1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75" customHeight="1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75" customHeight="1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75" customHeight="1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75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75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75" customHeight="1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75" customHeight="1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75" customHeight="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75" customHeight="1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75" customHeight="1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75" customHeight="1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75" customHeight="1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75" customHeight="1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75" customHeight="1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75" customHeight="1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75" customHeight="1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75" customHeight="1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75" customHeight="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75" customHeight="1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75" customHeight="1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75" customHeight="1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75" customHeight="1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75" customHeight="1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75" customHeight="1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75" customHeight="1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75" customHeight="1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75" customHeight="1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75" customHeight="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75" customHeight="1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75" customHeight="1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75" customHeight="1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75" customHeight="1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75" customHeight="1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75" customHeight="1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75" customHeight="1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75" customHeight="1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75" customHeight="1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75" customHeight="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75" customHeight="1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75" customHeight="1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75" customHeight="1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75" customHeight="1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75" customHeight="1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75" customHeight="1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75" customHeight="1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75" customHeight="1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75" customHeight="1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75" customHeight="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75" customHeight="1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75" customHeight="1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75" customHeight="1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75" customHeight="1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75" customHeight="1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75" customHeight="1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75" customHeight="1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75" customHeight="1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75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75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75" customHeight="1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75" customHeight="1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75" customHeight="1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75" customHeight="1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75" customHeight="1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75" customHeight="1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75" customHeight="1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75" customHeight="1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75" customHeight="1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75" customHeight="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75" customHeight="1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75" customHeight="1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75" customHeight="1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75" customHeight="1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75" customHeight="1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75" customHeight="1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75" customHeight="1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75" customHeight="1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75" customHeight="1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75" customHeight="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75" customHeight="1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75" customHeight="1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75" customHeight="1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75" customHeight="1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75" customHeight="1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75" customHeight="1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75" customHeight="1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75" customHeight="1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75" customHeight="1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7.2" customHeight="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31.2" customHeight="1">
      <c r="A402" s="184" t="s">
        <v>55</v>
      </c>
      <c r="B402" s="207"/>
      <c r="C402" s="207"/>
      <c r="D402" s="207"/>
      <c r="E402" s="207"/>
      <c r="F402" s="207"/>
      <c r="G402" s="207"/>
      <c r="H402" s="207"/>
      <c r="I402" s="207"/>
      <c r="J402" s="207"/>
      <c r="K402" s="207"/>
      <c r="L402" s="207"/>
      <c r="M402" s="208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22.8" customHeight="1">
      <c r="A403" s="187" t="s">
        <v>56</v>
      </c>
      <c r="B403" s="137"/>
      <c r="C403" s="137"/>
      <c r="D403" s="137"/>
      <c r="E403" s="137"/>
      <c r="F403" s="137"/>
      <c r="G403" s="137"/>
      <c r="H403" s="137"/>
      <c r="I403" s="137"/>
      <c r="J403" s="137"/>
      <c r="K403" s="137"/>
      <c r="L403" s="137"/>
      <c r="M403" s="127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75" customHeight="1">
      <c r="A404" s="60" t="s">
        <v>57</v>
      </c>
      <c r="B404" s="188" t="str">
        <f>G12</f>
        <v>FPDX**X*X75H</v>
      </c>
      <c r="C404" s="156"/>
      <c r="D404" s="9" t="s">
        <v>2</v>
      </c>
      <c r="E404" s="189">
        <f>G3</f>
        <v>525032</v>
      </c>
      <c r="F404" s="155"/>
      <c r="G404" s="156"/>
      <c r="H404" s="165" t="s">
        <v>58</v>
      </c>
      <c r="I404" s="155"/>
      <c r="J404" s="276">
        <f>G4</f>
        <v>33816</v>
      </c>
      <c r="K404" s="277"/>
      <c r="L404" s="10" t="s">
        <v>59</v>
      </c>
      <c r="M404" s="61">
        <f>G5</f>
        <v>9807409730</v>
      </c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75" customHeight="1">
      <c r="A405" s="60" t="s">
        <v>60</v>
      </c>
      <c r="B405" s="154" t="str">
        <f>G2</f>
        <v>Vikas Verma</v>
      </c>
      <c r="C405" s="155"/>
      <c r="D405" s="155"/>
      <c r="E405" s="155"/>
      <c r="F405" s="155"/>
      <c r="G405" s="156"/>
      <c r="H405" s="157" t="s">
        <v>61</v>
      </c>
      <c r="I405" s="142"/>
      <c r="J405" s="158">
        <f t="shared" ref="J405:J406" si="0">G10</f>
        <v>39210110002424</v>
      </c>
      <c r="K405" s="159"/>
      <c r="L405" s="159"/>
      <c r="M405" s="160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75" customHeight="1">
      <c r="A406" s="62" t="s">
        <v>62</v>
      </c>
      <c r="B406" s="154" t="str">
        <f t="shared" ref="B406:B407" si="1">G6</f>
        <v>PS PEETHAPUR</v>
      </c>
      <c r="C406" s="155"/>
      <c r="D406" s="155"/>
      <c r="E406" s="155"/>
      <c r="F406" s="155"/>
      <c r="G406" s="156"/>
      <c r="H406" s="219" t="s">
        <v>63</v>
      </c>
      <c r="I406" s="142"/>
      <c r="J406" s="161" t="str">
        <f t="shared" si="0"/>
        <v>ABC XYZ</v>
      </c>
      <c r="K406" s="117"/>
      <c r="L406" s="117"/>
      <c r="M406" s="118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75" customHeight="1">
      <c r="A407" s="63" t="s">
        <v>64</v>
      </c>
      <c r="B407" s="162" t="str">
        <f t="shared" si="1"/>
        <v>AT</v>
      </c>
      <c r="C407" s="130"/>
      <c r="D407" s="11" t="s">
        <v>65</v>
      </c>
      <c r="E407" s="163" t="str">
        <f>G8</f>
        <v>SIRAULIGAUSPUR</v>
      </c>
      <c r="F407" s="155"/>
      <c r="G407" s="156"/>
      <c r="H407" s="165" t="s">
        <v>66</v>
      </c>
      <c r="I407" s="156"/>
      <c r="J407" s="163" t="str">
        <f>G9</f>
        <v>BARABANKI</v>
      </c>
      <c r="K407" s="155"/>
      <c r="L407" s="155"/>
      <c r="M407" s="164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2" customHeight="1">
      <c r="A408" s="64"/>
      <c r="B408" s="65"/>
      <c r="C408" s="65"/>
      <c r="D408" s="65"/>
      <c r="E408" s="65"/>
      <c r="F408" s="65"/>
      <c r="G408" s="65"/>
      <c r="H408" s="65"/>
      <c r="I408" s="65"/>
      <c r="J408" s="65"/>
      <c r="K408" s="65"/>
      <c r="L408" s="65"/>
      <c r="M408" s="66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s="113" customFormat="1" ht="29.4" customHeight="1">
      <c r="A409" s="67" t="s">
        <v>67</v>
      </c>
      <c r="B409" s="12" t="s">
        <v>68</v>
      </c>
      <c r="C409" s="13" t="s">
        <v>69</v>
      </c>
      <c r="D409" s="14" t="s">
        <v>70</v>
      </c>
      <c r="E409" s="14" t="s">
        <v>71</v>
      </c>
      <c r="F409" s="14"/>
      <c r="G409" s="114" t="s">
        <v>72</v>
      </c>
      <c r="H409" s="13" t="s">
        <v>73</v>
      </c>
      <c r="I409" s="15" t="s">
        <v>74</v>
      </c>
      <c r="J409" s="15" t="s">
        <v>75</v>
      </c>
      <c r="K409" s="14" t="s">
        <v>76</v>
      </c>
      <c r="L409" s="14" t="s">
        <v>77</v>
      </c>
      <c r="M409" s="68" t="s">
        <v>78</v>
      </c>
      <c r="N409" s="112"/>
      <c r="O409" s="112"/>
      <c r="P409" s="112"/>
      <c r="Q409" s="112"/>
      <c r="R409" s="112"/>
      <c r="S409" s="112"/>
      <c r="T409" s="112"/>
      <c r="U409" s="112"/>
      <c r="V409" s="112"/>
      <c r="W409" s="112"/>
      <c r="X409" s="112"/>
      <c r="Y409" s="112"/>
      <c r="Z409" s="112"/>
    </row>
    <row r="410" spans="1:26" ht="15.75" customHeight="1">
      <c r="A410" s="69">
        <v>45717</v>
      </c>
      <c r="B410" s="16">
        <f>G14</f>
        <v>4200</v>
      </c>
      <c r="C410" s="16">
        <f>G13</f>
        <v>66000</v>
      </c>
      <c r="D410" s="17">
        <f>C410*0.53</f>
        <v>34980</v>
      </c>
      <c r="E410" s="16">
        <f>G15</f>
        <v>1340</v>
      </c>
      <c r="F410" s="18"/>
      <c r="G410" s="16">
        <f>IF(AND(G22=1,G24=1),(C410+D410)*14%,0)</f>
        <v>0</v>
      </c>
      <c r="H410" s="16">
        <f t="shared" ref="H410:H421" si="2">SUM(C410:G410)</f>
        <v>102320</v>
      </c>
      <c r="I410" s="19">
        <f>IF((AND(G22=2,G25=1)),(C410*0.1),0)</f>
        <v>0</v>
      </c>
      <c r="J410" s="20">
        <f>IF((AND(G22=1)),ROUND((C410+D410)*0.1,0),0)</f>
        <v>0</v>
      </c>
      <c r="K410" s="20">
        <f>IF(G20=1,87,0)</f>
        <v>0</v>
      </c>
      <c r="L410" s="21">
        <f>G43</f>
        <v>0</v>
      </c>
      <c r="M410" s="70">
        <f t="shared" ref="M410:M421" si="3">SUM(H410-I410-J410-K410-L410)</f>
        <v>102320</v>
      </c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75" customHeight="1">
      <c r="A411" s="69">
        <v>45748</v>
      </c>
      <c r="B411" s="16">
        <f>G14</f>
        <v>4200</v>
      </c>
      <c r="C411" s="16">
        <f>C410</f>
        <v>66000</v>
      </c>
      <c r="D411" s="22">
        <f t="shared" ref="D411:D416" si="4">C411*0.55</f>
        <v>36300</v>
      </c>
      <c r="E411" s="16">
        <f>G15</f>
        <v>1340</v>
      </c>
      <c r="F411" s="18"/>
      <c r="G411" s="16">
        <f>IF(AND(G22=1,G24=1),(C411+D411)*14%,0)</f>
        <v>0</v>
      </c>
      <c r="H411" s="16">
        <f t="shared" si="2"/>
        <v>103640</v>
      </c>
      <c r="I411" s="19">
        <f>IF((AND(G22=2,G25=1)),(C411*0.1),0)</f>
        <v>0</v>
      </c>
      <c r="J411" s="20">
        <f>IF(G22=1,ROUND((C411+D411)*0.1,0),0)</f>
        <v>0</v>
      </c>
      <c r="K411" s="20">
        <f t="shared" ref="K411:K415" si="5">K410</f>
        <v>0</v>
      </c>
      <c r="L411" s="21">
        <f>G43</f>
        <v>0</v>
      </c>
      <c r="M411" s="70">
        <f t="shared" si="3"/>
        <v>103640</v>
      </c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75" customHeight="1">
      <c r="A412" s="69">
        <v>45778</v>
      </c>
      <c r="B412" s="16">
        <f t="shared" ref="B412:C412" si="6">B411</f>
        <v>4200</v>
      </c>
      <c r="C412" s="16">
        <f t="shared" si="6"/>
        <v>66000</v>
      </c>
      <c r="D412" s="22">
        <f t="shared" si="4"/>
        <v>36300</v>
      </c>
      <c r="E412" s="16">
        <f t="shared" ref="E412:E421" si="7">E411</f>
        <v>1340</v>
      </c>
      <c r="F412" s="18"/>
      <c r="G412" s="16">
        <f>IF(AND(G22=1,G24=1),(C412+D412)*14%,0)</f>
        <v>0</v>
      </c>
      <c r="H412" s="16">
        <f t="shared" si="2"/>
        <v>103640</v>
      </c>
      <c r="I412" s="19">
        <f>IF((AND(G22=2,G25=1)),(C412*0.1),0)</f>
        <v>0</v>
      </c>
      <c r="J412" s="20">
        <f>IF(G22=1,ROUND((C412+D412)*0.1,0),0)</f>
        <v>0</v>
      </c>
      <c r="K412" s="20">
        <f t="shared" si="5"/>
        <v>0</v>
      </c>
      <c r="L412" s="21">
        <f t="shared" ref="L412:L419" si="8">L411</f>
        <v>0</v>
      </c>
      <c r="M412" s="70">
        <f t="shared" si="3"/>
        <v>103640</v>
      </c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75" customHeight="1">
      <c r="A413" s="69">
        <v>45809</v>
      </c>
      <c r="B413" s="16">
        <f t="shared" ref="B413:C413" si="9">B412</f>
        <v>4200</v>
      </c>
      <c r="C413" s="16">
        <f t="shared" si="9"/>
        <v>66000</v>
      </c>
      <c r="D413" s="22">
        <f t="shared" si="4"/>
        <v>36300</v>
      </c>
      <c r="E413" s="16">
        <f t="shared" si="7"/>
        <v>1340</v>
      </c>
      <c r="F413" s="18"/>
      <c r="G413" s="16">
        <f>IF(AND(G22=1,G24=1),(C413+D413)*14%,0)</f>
        <v>0</v>
      </c>
      <c r="H413" s="16">
        <f t="shared" si="2"/>
        <v>103640</v>
      </c>
      <c r="I413" s="19">
        <f>IF((AND(G22=2,G25=1)),(C413*0.1),0)</f>
        <v>0</v>
      </c>
      <c r="J413" s="20">
        <f>IF(G22=1,ROUND((C413+D413)*0.1,0),0)</f>
        <v>0</v>
      </c>
      <c r="K413" s="20">
        <f t="shared" si="5"/>
        <v>0</v>
      </c>
      <c r="L413" s="21">
        <f t="shared" si="8"/>
        <v>0</v>
      </c>
      <c r="M413" s="70">
        <f t="shared" si="3"/>
        <v>103640</v>
      </c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75" customHeight="1">
      <c r="A414" s="69">
        <v>45839</v>
      </c>
      <c r="B414" s="16">
        <f t="shared" ref="B414:B421" si="10">B413</f>
        <v>4200</v>
      </c>
      <c r="C414" s="16">
        <f>IF(G16=1,ROUND(G13*1.03,-2),G13)</f>
        <v>68000</v>
      </c>
      <c r="D414" s="22">
        <f t="shared" si="4"/>
        <v>37400</v>
      </c>
      <c r="E414" s="16">
        <f t="shared" si="7"/>
        <v>1340</v>
      </c>
      <c r="F414" s="18"/>
      <c r="G414" s="16">
        <f>IF(AND(G22=1,G24=1),(C414+D414)*14%,0)</f>
        <v>0</v>
      </c>
      <c r="H414" s="16">
        <f t="shared" si="2"/>
        <v>106740</v>
      </c>
      <c r="I414" s="19">
        <f>IF((AND(G22=2,G25=1)),(C414*0.1),0)</f>
        <v>0</v>
      </c>
      <c r="J414" s="20">
        <f>IF(G22=1,ROUND((C414+D414)*0.1,0),0)</f>
        <v>0</v>
      </c>
      <c r="K414" s="20">
        <f t="shared" si="5"/>
        <v>0</v>
      </c>
      <c r="L414" s="21">
        <f t="shared" si="8"/>
        <v>0</v>
      </c>
      <c r="M414" s="70">
        <f t="shared" si="3"/>
        <v>106740</v>
      </c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75" customHeight="1">
      <c r="A415" s="69">
        <v>45870</v>
      </c>
      <c r="B415" s="16">
        <f t="shared" si="10"/>
        <v>4200</v>
      </c>
      <c r="C415" s="16">
        <f>IF(G16=1,ROUND(G13*1.03,-2),G13)</f>
        <v>68000</v>
      </c>
      <c r="D415" s="22">
        <f t="shared" si="4"/>
        <v>37400</v>
      </c>
      <c r="E415" s="16">
        <f t="shared" si="7"/>
        <v>1340</v>
      </c>
      <c r="F415" s="18"/>
      <c r="G415" s="16">
        <f>IF(AND(G22=1,G24=1),(C415+D415)*14%,0)</f>
        <v>0</v>
      </c>
      <c r="H415" s="16">
        <f t="shared" si="2"/>
        <v>106740</v>
      </c>
      <c r="I415" s="19">
        <f>IF((AND(G22=2,G25=1)),(C415*0.1),0)</f>
        <v>0</v>
      </c>
      <c r="J415" s="20">
        <f>IF(G22=1,ROUND((C415+D415)*0.1,0),0)</f>
        <v>0</v>
      </c>
      <c r="K415" s="20">
        <f t="shared" si="5"/>
        <v>0</v>
      </c>
      <c r="L415" s="21">
        <f t="shared" si="8"/>
        <v>0</v>
      </c>
      <c r="M415" s="70">
        <f t="shared" si="3"/>
        <v>106740</v>
      </c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75" customHeight="1">
      <c r="A416" s="69">
        <v>45918</v>
      </c>
      <c r="B416" s="16">
        <f t="shared" si="10"/>
        <v>4200</v>
      </c>
      <c r="C416" s="16">
        <f>IF(G16=1,ROUND(G13*1.03,-2),G13)</f>
        <v>68000</v>
      </c>
      <c r="D416" s="22">
        <f t="shared" si="4"/>
        <v>37400</v>
      </c>
      <c r="E416" s="16">
        <f t="shared" si="7"/>
        <v>1340</v>
      </c>
      <c r="F416" s="18"/>
      <c r="G416" s="16">
        <f>IF(AND(G22=1,G24=1),(C416+D416)*14%,0)</f>
        <v>0</v>
      </c>
      <c r="H416" s="16">
        <f t="shared" si="2"/>
        <v>106740</v>
      </c>
      <c r="I416" s="19">
        <f>IF((AND(G22=2,G25=1)),(C416*0.1),0)</f>
        <v>0</v>
      </c>
      <c r="J416" s="20">
        <f>IF(G22=1,ROUND((C416+D416)*0.1,0),0)</f>
        <v>0</v>
      </c>
      <c r="K416" s="20">
        <f>IF(G20=1,87,0)</f>
        <v>0</v>
      </c>
      <c r="L416" s="21">
        <f t="shared" si="8"/>
        <v>0</v>
      </c>
      <c r="M416" s="70">
        <f t="shared" si="3"/>
        <v>106740</v>
      </c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75" customHeight="1">
      <c r="A417" s="69">
        <v>45931</v>
      </c>
      <c r="B417" s="16">
        <f t="shared" si="10"/>
        <v>4200</v>
      </c>
      <c r="C417" s="16">
        <f>IF(G16=1,ROUND(G13*1.03,-2),G13)</f>
        <v>68000</v>
      </c>
      <c r="D417" s="22">
        <f>IF(G21=1,C419*0.58,C419*0.55)</f>
        <v>39440</v>
      </c>
      <c r="E417" s="16">
        <f t="shared" si="7"/>
        <v>1340</v>
      </c>
      <c r="F417" s="18"/>
      <c r="G417" s="16">
        <f>IF(AND(G22=1,G24=1),(C417+D417)*14%,0)</f>
        <v>0</v>
      </c>
      <c r="H417" s="16">
        <f t="shared" si="2"/>
        <v>108780</v>
      </c>
      <c r="I417" s="19">
        <f>IF((AND(G22=2,G25=1)),(C417*0.1),0)</f>
        <v>0</v>
      </c>
      <c r="J417" s="20">
        <f>IF(G22=1,ROUND((C417+D417)*0.1,0),0)</f>
        <v>0</v>
      </c>
      <c r="K417" s="20">
        <f>IF(G20=1,87,0)</f>
        <v>0</v>
      </c>
      <c r="L417" s="21">
        <f t="shared" si="8"/>
        <v>0</v>
      </c>
      <c r="M417" s="70">
        <f t="shared" si="3"/>
        <v>108780</v>
      </c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75" customHeight="1">
      <c r="A418" s="69">
        <v>45962</v>
      </c>
      <c r="B418" s="16">
        <f t="shared" si="10"/>
        <v>4200</v>
      </c>
      <c r="C418" s="16">
        <f>IF(G16=1,ROUND(G13*1.03,-2),G13)</f>
        <v>68000</v>
      </c>
      <c r="D418" s="22">
        <f>C419*0.58</f>
        <v>39440</v>
      </c>
      <c r="E418" s="16">
        <f t="shared" si="7"/>
        <v>1340</v>
      </c>
      <c r="F418" s="18"/>
      <c r="G418" s="16">
        <f>IF(AND(G22=1,G24=1),(C418+D418)*14%,0)</f>
        <v>0</v>
      </c>
      <c r="H418" s="16">
        <f t="shared" si="2"/>
        <v>108780</v>
      </c>
      <c r="I418" s="19">
        <f>IF((AND(G22=2,G25=1)),(C418*0.1),0)</f>
        <v>0</v>
      </c>
      <c r="J418" s="20">
        <f>IF(G22=1,ROUND((C418+D418)*0.1,0),0)</f>
        <v>0</v>
      </c>
      <c r="K418" s="20">
        <f>IF(G20=1,87,0)</f>
        <v>0</v>
      </c>
      <c r="L418" s="21">
        <f t="shared" si="8"/>
        <v>0</v>
      </c>
      <c r="M418" s="70">
        <f t="shared" si="3"/>
        <v>108780</v>
      </c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75" customHeight="1">
      <c r="A419" s="69">
        <v>45992</v>
      </c>
      <c r="B419" s="16">
        <f t="shared" si="10"/>
        <v>4200</v>
      </c>
      <c r="C419" s="16">
        <f>IF(G16=1,ROUND(G13*1.03,-2),G13)</f>
        <v>68000</v>
      </c>
      <c r="D419" s="22">
        <f>C418*0.58</f>
        <v>39440</v>
      </c>
      <c r="E419" s="16">
        <f t="shared" si="7"/>
        <v>1340</v>
      </c>
      <c r="F419" s="18"/>
      <c r="G419" s="16">
        <f>IF(AND(G22=1,G24=1),(C419+D419)*14%,0)</f>
        <v>0</v>
      </c>
      <c r="H419" s="16">
        <f t="shared" si="2"/>
        <v>108780</v>
      </c>
      <c r="I419" s="19">
        <f>IF((AND(G22=2,G25=1)),(C419*0.1),0)</f>
        <v>0</v>
      </c>
      <c r="J419" s="20">
        <f>IF(G22=1,ROUND((C419+D419)*0.1,0),0)</f>
        <v>0</v>
      </c>
      <c r="K419" s="20">
        <f>IF(G20=1,87,0)</f>
        <v>0</v>
      </c>
      <c r="L419" s="21">
        <f t="shared" si="8"/>
        <v>0</v>
      </c>
      <c r="M419" s="70">
        <f t="shared" si="3"/>
        <v>108780</v>
      </c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75" customHeight="1">
      <c r="A420" s="69">
        <v>46023</v>
      </c>
      <c r="B420" s="16">
        <f t="shared" si="10"/>
        <v>4200</v>
      </c>
      <c r="C420" s="16">
        <f>IF(G16=1,ROUND(G13*1.03,-2),ROUND(G13*1.03,-2))</f>
        <v>68000</v>
      </c>
      <c r="D420" s="22">
        <f t="shared" ref="D420:D421" si="11">C420*0.58</f>
        <v>39440</v>
      </c>
      <c r="E420" s="16">
        <f t="shared" si="7"/>
        <v>1340</v>
      </c>
      <c r="F420" s="18"/>
      <c r="G420" s="16">
        <f>IF(AND(G22=1,G24=1),(C420+D420)*14%,0)</f>
        <v>0</v>
      </c>
      <c r="H420" s="16">
        <f t="shared" si="2"/>
        <v>108780</v>
      </c>
      <c r="I420" s="19">
        <f>IF((AND(G22=2,G25=1)),(C420*0.1),0)</f>
        <v>0</v>
      </c>
      <c r="J420" s="20">
        <f>IF(G22=1,ROUND((C420+D420)*0.1,0),0)</f>
        <v>0</v>
      </c>
      <c r="K420" s="20">
        <f>IF(G20=1,87,0)</f>
        <v>0</v>
      </c>
      <c r="L420" s="21"/>
      <c r="M420" s="70">
        <f t="shared" si="3"/>
        <v>108780</v>
      </c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75" customHeight="1">
      <c r="A421" s="69">
        <v>46054</v>
      </c>
      <c r="B421" s="16">
        <f t="shared" si="10"/>
        <v>4200</v>
      </c>
      <c r="C421" s="16">
        <f>IF(G16=1,ROUND(G13*1.03,-2),ROUND(G13*1.03,-2))</f>
        <v>68000</v>
      </c>
      <c r="D421" s="22">
        <f t="shared" si="11"/>
        <v>39440</v>
      </c>
      <c r="E421" s="16">
        <f t="shared" si="7"/>
        <v>1340</v>
      </c>
      <c r="F421" s="18"/>
      <c r="G421" s="16">
        <f>IF(AND(G22=1,G24=1),(C421+D421)*14%,0)</f>
        <v>0</v>
      </c>
      <c r="H421" s="16">
        <f t="shared" si="2"/>
        <v>108780</v>
      </c>
      <c r="I421" s="19">
        <f>IF((AND(G22=2,G25=1)),(C421*0.1),0)</f>
        <v>0</v>
      </c>
      <c r="J421" s="20">
        <f>IF(G22=1,ROUND((C421+D421)*0.1,0),0)</f>
        <v>0</v>
      </c>
      <c r="K421" s="20">
        <f>IF(G20=1,87,0)</f>
        <v>0</v>
      </c>
      <c r="L421" s="21"/>
      <c r="M421" s="70">
        <f t="shared" si="3"/>
        <v>108780</v>
      </c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75" customHeight="1">
      <c r="A422" s="168" t="s">
        <v>79</v>
      </c>
      <c r="B422" s="156"/>
      <c r="C422" s="23" t="s">
        <v>80</v>
      </c>
      <c r="D422" s="16"/>
      <c r="E422" s="16"/>
      <c r="F422" s="16"/>
      <c r="G422" s="16">
        <f>IF((AND(G22=1,G24=1)),ROUND(H422*0.14,0),0)</f>
        <v>0</v>
      </c>
      <c r="H422" s="16">
        <f>C410*6%</f>
        <v>3960</v>
      </c>
      <c r="I422" s="20">
        <f>IF((AND(G22=2,G25=1)),(H422),0)</f>
        <v>0</v>
      </c>
      <c r="J422" s="20">
        <f>IF((AND(G22=1,G23=1)),ROUND(H422*0.1,0),0)</f>
        <v>0</v>
      </c>
      <c r="K422" s="20"/>
      <c r="L422" s="24"/>
      <c r="M422" s="70">
        <f t="shared" ref="M422:M423" si="12">SUM(H422-I422-J422-K422-L422+G422)</f>
        <v>3960</v>
      </c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75" customHeight="1">
      <c r="A423" s="168" t="s">
        <v>81</v>
      </c>
      <c r="B423" s="156"/>
      <c r="C423" s="23" t="s">
        <v>82</v>
      </c>
      <c r="D423" s="16"/>
      <c r="E423" s="16"/>
      <c r="F423" s="16"/>
      <c r="G423" s="16">
        <f>IF((AND(G22=1,G24=1)),ROUND(H423*0.14,0),0)</f>
        <v>0</v>
      </c>
      <c r="H423" s="25">
        <f>IF(G21=1,C414*9%,C414*12%)</f>
        <v>6120</v>
      </c>
      <c r="I423" s="20">
        <f>IF((AND(G22=2,G25=1)),(H423),0)</f>
        <v>0</v>
      </c>
      <c r="J423" s="20">
        <f>IF((AND(G22=1,G23=1)),ROUND(H423*0.1,0),0)</f>
        <v>0</v>
      </c>
      <c r="K423" s="20"/>
      <c r="L423" s="24"/>
      <c r="M423" s="70">
        <f t="shared" si="12"/>
        <v>6120</v>
      </c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75" customHeight="1">
      <c r="A424" s="166" t="s">
        <v>83</v>
      </c>
      <c r="B424" s="156"/>
      <c r="C424" s="16"/>
      <c r="D424" s="16"/>
      <c r="E424" s="16"/>
      <c r="F424" s="16"/>
      <c r="G424" s="16"/>
      <c r="H424" s="25">
        <f>IF(G19=1,6908,0)</f>
        <v>6908</v>
      </c>
      <c r="I424" s="20">
        <f>IF((AND(G22=2,G25=1)),(H424*0.75),0)</f>
        <v>0</v>
      </c>
      <c r="J424" s="20"/>
      <c r="K424" s="20"/>
      <c r="L424" s="24"/>
      <c r="M424" s="70">
        <f t="shared" ref="M424:M425" si="13">SUM(H424-I424-J424-K424-L424)</f>
        <v>6908</v>
      </c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75" customHeight="1">
      <c r="A425" s="166" t="s">
        <v>84</v>
      </c>
      <c r="B425" s="156"/>
      <c r="C425" s="24"/>
      <c r="D425" s="24"/>
      <c r="E425" s="24"/>
      <c r="F425" s="24"/>
      <c r="G425" s="24"/>
      <c r="H425" s="26"/>
      <c r="I425" s="20"/>
      <c r="J425" s="20"/>
      <c r="K425" s="20"/>
      <c r="L425" s="24"/>
      <c r="M425" s="70">
        <f t="shared" si="13"/>
        <v>0</v>
      </c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75" customHeight="1">
      <c r="A426" s="167" t="s">
        <v>85</v>
      </c>
      <c r="B426" s="156"/>
      <c r="C426" s="27">
        <f t="shared" ref="C426:E426" si="14">SUM(C410:C425)</f>
        <v>808000</v>
      </c>
      <c r="D426" s="27">
        <f t="shared" si="14"/>
        <v>453280</v>
      </c>
      <c r="E426" s="27">
        <f t="shared" si="14"/>
        <v>16080</v>
      </c>
      <c r="F426" s="28">
        <f>SUM(F410:F421)</f>
        <v>0</v>
      </c>
      <c r="G426" s="29">
        <f>SUM(G410:G423)</f>
        <v>0</v>
      </c>
      <c r="H426" s="30">
        <f>IF(G24=1,SUM(H410:H425,G422,G423),SUM(H410:H425))</f>
        <v>1294348</v>
      </c>
      <c r="I426" s="31">
        <f t="shared" ref="I426:M426" si="15">SUM(I410:I425)</f>
        <v>0</v>
      </c>
      <c r="J426" s="32">
        <f t="shared" si="15"/>
        <v>0</v>
      </c>
      <c r="K426" s="32">
        <f t="shared" si="15"/>
        <v>0</v>
      </c>
      <c r="L426" s="33">
        <f t="shared" si="15"/>
        <v>0</v>
      </c>
      <c r="M426" s="71">
        <f t="shared" si="15"/>
        <v>1294348</v>
      </c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75" customHeight="1">
      <c r="A427" s="72"/>
      <c r="B427" s="73"/>
      <c r="C427" s="73"/>
      <c r="D427" s="73"/>
      <c r="E427" s="73"/>
      <c r="F427" s="73"/>
      <c r="G427" s="73"/>
      <c r="H427" s="73"/>
      <c r="I427" s="73"/>
      <c r="J427" s="73"/>
      <c r="K427" s="73"/>
      <c r="L427" s="73"/>
      <c r="M427" s="74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75" customHeight="1">
      <c r="A428" s="167" t="s">
        <v>86</v>
      </c>
      <c r="B428" s="155"/>
      <c r="C428" s="155"/>
      <c r="D428" s="156"/>
      <c r="E428" s="73"/>
      <c r="F428" s="217" t="s">
        <v>87</v>
      </c>
      <c r="G428" s="155"/>
      <c r="H428" s="156"/>
      <c r="I428" s="218">
        <f>H426</f>
        <v>1294348</v>
      </c>
      <c r="J428" s="156"/>
      <c r="K428" s="209" t="s">
        <v>88</v>
      </c>
      <c r="L428" s="156"/>
      <c r="M428" s="75">
        <f>G44+G40</f>
        <v>0</v>
      </c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75" customHeight="1">
      <c r="A429" s="167" t="s">
        <v>181</v>
      </c>
      <c r="B429" s="155"/>
      <c r="C429" s="155"/>
      <c r="D429" s="156"/>
      <c r="E429" s="73"/>
      <c r="F429" s="34">
        <v>1</v>
      </c>
      <c r="G429" s="35" t="s">
        <v>89</v>
      </c>
      <c r="H429" s="76"/>
      <c r="I429" s="77"/>
      <c r="J429" s="218">
        <f>I428+M428</f>
        <v>1294348</v>
      </c>
      <c r="K429" s="155"/>
      <c r="L429" s="155"/>
      <c r="M429" s="164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75" customHeight="1">
      <c r="A430" s="215" t="s">
        <v>90</v>
      </c>
      <c r="B430" s="156"/>
      <c r="C430" s="238">
        <f>I426</f>
        <v>0</v>
      </c>
      <c r="D430" s="156"/>
      <c r="E430" s="73"/>
      <c r="F430" s="36"/>
      <c r="G430" s="217" t="s">
        <v>91</v>
      </c>
      <c r="H430" s="155"/>
      <c r="I430" s="155"/>
      <c r="J430" s="155"/>
      <c r="K430" s="155"/>
      <c r="L430" s="155"/>
      <c r="M430" s="164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75" customHeight="1">
      <c r="A431" s="215" t="s">
        <v>76</v>
      </c>
      <c r="B431" s="156"/>
      <c r="C431" s="255">
        <f>K426</f>
        <v>0</v>
      </c>
      <c r="D431" s="156"/>
      <c r="E431" s="73"/>
      <c r="F431" s="34" t="s">
        <v>92</v>
      </c>
      <c r="G431" s="211" t="s">
        <v>93</v>
      </c>
      <c r="H431" s="155"/>
      <c r="I431" s="155"/>
      <c r="J431" s="155"/>
      <c r="K431" s="155"/>
      <c r="L431" s="156"/>
      <c r="M431" s="78">
        <f>IF(G18=1,SUM(E410:E421),0)</f>
        <v>0</v>
      </c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75" customHeight="1">
      <c r="A432" s="215" t="s">
        <v>43</v>
      </c>
      <c r="B432" s="156"/>
      <c r="C432" s="238">
        <f>G38</f>
        <v>0</v>
      </c>
      <c r="D432" s="156"/>
      <c r="E432" s="73"/>
      <c r="F432" s="34" t="s">
        <v>94</v>
      </c>
      <c r="G432" s="211" t="s">
        <v>95</v>
      </c>
      <c r="H432" s="155"/>
      <c r="I432" s="155"/>
      <c r="J432" s="155"/>
      <c r="K432" s="155"/>
      <c r="L432" s="156"/>
      <c r="M432" s="79">
        <f>G34</f>
        <v>0</v>
      </c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75" customHeight="1">
      <c r="A433" s="215" t="s">
        <v>32</v>
      </c>
      <c r="B433" s="156"/>
      <c r="C433" s="238">
        <f t="shared" ref="C433:C434" si="16">G27</f>
        <v>0</v>
      </c>
      <c r="D433" s="156"/>
      <c r="E433" s="73"/>
      <c r="F433" s="34" t="s">
        <v>96</v>
      </c>
      <c r="G433" s="211" t="s">
        <v>97</v>
      </c>
      <c r="H433" s="155"/>
      <c r="I433" s="155"/>
      <c r="J433" s="155"/>
      <c r="K433" s="155"/>
      <c r="L433" s="156"/>
      <c r="M433" s="79">
        <v>50000</v>
      </c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75" customHeight="1">
      <c r="A434" s="215" t="s">
        <v>33</v>
      </c>
      <c r="B434" s="156"/>
      <c r="C434" s="238">
        <f t="shared" si="16"/>
        <v>0</v>
      </c>
      <c r="D434" s="156"/>
      <c r="E434" s="73"/>
      <c r="F434" s="34" t="s">
        <v>98</v>
      </c>
      <c r="G434" s="211" t="s">
        <v>99</v>
      </c>
      <c r="H434" s="155"/>
      <c r="I434" s="155"/>
      <c r="J434" s="155"/>
      <c r="K434" s="155"/>
      <c r="L434" s="156"/>
      <c r="M434" s="79">
        <f>IF(C445&gt;150000,150000,C445)</f>
        <v>0</v>
      </c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75" customHeight="1">
      <c r="A435" s="215" t="s">
        <v>100</v>
      </c>
      <c r="B435" s="156"/>
      <c r="C435" s="238">
        <f>IF(J426&lt;=50000,0,(J426-50000))</f>
        <v>0</v>
      </c>
      <c r="D435" s="156"/>
      <c r="E435" s="73"/>
      <c r="F435" s="34" t="s">
        <v>101</v>
      </c>
      <c r="G435" s="211" t="s">
        <v>102</v>
      </c>
      <c r="H435" s="155"/>
      <c r="I435" s="155"/>
      <c r="J435" s="155"/>
      <c r="K435" s="155"/>
      <c r="L435" s="156"/>
      <c r="M435" s="79">
        <f>IF(J426&gt;=50000,50000,J426)</f>
        <v>0</v>
      </c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75" customHeight="1">
      <c r="A436" s="80" t="s">
        <v>103</v>
      </c>
      <c r="B436" s="81"/>
      <c r="C436" s="238">
        <f t="shared" ref="C436:C438" si="17">G30</f>
        <v>0</v>
      </c>
      <c r="D436" s="156"/>
      <c r="E436" s="73"/>
      <c r="F436" s="34" t="s">
        <v>104</v>
      </c>
      <c r="G436" s="211" t="s">
        <v>105</v>
      </c>
      <c r="H436" s="155"/>
      <c r="I436" s="155"/>
      <c r="J436" s="155"/>
      <c r="K436" s="155"/>
      <c r="L436" s="156"/>
      <c r="M436" s="75">
        <f>G426</f>
        <v>0</v>
      </c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75" customHeight="1">
      <c r="A437" s="215" t="s">
        <v>36</v>
      </c>
      <c r="B437" s="156"/>
      <c r="C437" s="238">
        <f t="shared" si="17"/>
        <v>0</v>
      </c>
      <c r="D437" s="156"/>
      <c r="E437" s="73"/>
      <c r="F437" s="37" t="s">
        <v>106</v>
      </c>
      <c r="G437" s="211" t="s">
        <v>107</v>
      </c>
      <c r="H437" s="155"/>
      <c r="I437" s="155"/>
      <c r="J437" s="155"/>
      <c r="K437" s="155"/>
      <c r="L437" s="156"/>
      <c r="M437" s="75">
        <f>G36</f>
        <v>0</v>
      </c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75" customHeight="1">
      <c r="A438" s="82" t="s">
        <v>108</v>
      </c>
      <c r="B438" s="73"/>
      <c r="C438" s="238">
        <f t="shared" si="17"/>
        <v>0</v>
      </c>
      <c r="D438" s="156"/>
      <c r="E438" s="73"/>
      <c r="F438" s="34" t="s">
        <v>109</v>
      </c>
      <c r="G438" s="211" t="s">
        <v>110</v>
      </c>
      <c r="H438" s="155"/>
      <c r="I438" s="155"/>
      <c r="J438" s="155"/>
      <c r="K438" s="155"/>
      <c r="L438" s="156"/>
      <c r="M438" s="79">
        <f>I36</f>
        <v>0</v>
      </c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26.25" customHeight="1">
      <c r="A439" s="216" t="s">
        <v>111</v>
      </c>
      <c r="B439" s="130"/>
      <c r="C439" s="250">
        <f>G41</f>
        <v>0</v>
      </c>
      <c r="D439" s="156"/>
      <c r="E439" s="73"/>
      <c r="F439" s="37" t="s">
        <v>112</v>
      </c>
      <c r="G439" s="212" t="s">
        <v>113</v>
      </c>
      <c r="H439" s="155"/>
      <c r="I439" s="155"/>
      <c r="J439" s="155"/>
      <c r="K439" s="155"/>
      <c r="L439" s="156"/>
      <c r="M439" s="75">
        <f>IF(AND(G17=1, G40&lt;=50000), IF(G40&lt;=50000, G40, 50000), IF(AND(G17=2, G40&lt;=10000), G40, 10000))</f>
        <v>0</v>
      </c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75" customHeight="1">
      <c r="A440" s="83" t="s">
        <v>114</v>
      </c>
      <c r="B440" s="38"/>
      <c r="C440" s="238">
        <f>G33</f>
        <v>0</v>
      </c>
      <c r="D440" s="156"/>
      <c r="E440" s="73"/>
      <c r="F440" s="34" t="s">
        <v>115</v>
      </c>
      <c r="G440" s="211" t="s">
        <v>47</v>
      </c>
      <c r="H440" s="155"/>
      <c r="I440" s="155"/>
      <c r="J440" s="155"/>
      <c r="K440" s="155"/>
      <c r="L440" s="156"/>
      <c r="M440" s="79">
        <f>G42</f>
        <v>0</v>
      </c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75" customHeight="1">
      <c r="A441" s="215" t="s">
        <v>40</v>
      </c>
      <c r="B441" s="156"/>
      <c r="C441" s="238">
        <f>G35</f>
        <v>0</v>
      </c>
      <c r="D441" s="156"/>
      <c r="E441" s="73"/>
      <c r="F441" s="34">
        <v>2</v>
      </c>
      <c r="G441" s="211" t="s">
        <v>116</v>
      </c>
      <c r="H441" s="155"/>
      <c r="I441" s="155"/>
      <c r="J441" s="155"/>
      <c r="K441" s="155"/>
      <c r="L441" s="156"/>
      <c r="M441" s="84">
        <f>SUM(M431:M440)</f>
        <v>50000</v>
      </c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75" customHeight="1">
      <c r="A442" s="215" t="s">
        <v>117</v>
      </c>
      <c r="B442" s="156"/>
      <c r="C442" s="238">
        <f>G37</f>
        <v>0</v>
      </c>
      <c r="D442" s="156"/>
      <c r="E442" s="73"/>
      <c r="F442" s="39">
        <v>3</v>
      </c>
      <c r="G442" s="217" t="s">
        <v>118</v>
      </c>
      <c r="H442" s="155"/>
      <c r="I442" s="155"/>
      <c r="J442" s="155"/>
      <c r="K442" s="155"/>
      <c r="L442" s="156"/>
      <c r="M442" s="85">
        <f>SUM(J429-M441)</f>
        <v>1244348</v>
      </c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75" customHeight="1">
      <c r="A443" s="251" t="s">
        <v>119</v>
      </c>
      <c r="B443" s="156"/>
      <c r="C443" s="213">
        <f>G29</f>
        <v>0</v>
      </c>
      <c r="D443" s="156"/>
      <c r="E443" s="73"/>
      <c r="F443" s="40"/>
      <c r="G443" s="217" t="s">
        <v>120</v>
      </c>
      <c r="H443" s="155"/>
      <c r="I443" s="155"/>
      <c r="J443" s="155"/>
      <c r="K443" s="155"/>
      <c r="L443" s="156"/>
      <c r="M443" s="86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75" customHeight="1">
      <c r="A444" s="215" t="s">
        <v>121</v>
      </c>
      <c r="B444" s="156"/>
      <c r="C444" s="213">
        <f>G39</f>
        <v>0</v>
      </c>
      <c r="D444" s="156"/>
      <c r="E444" s="73"/>
      <c r="F444" s="34" t="s">
        <v>122</v>
      </c>
      <c r="G444" s="87" t="s">
        <v>123</v>
      </c>
      <c r="H444" s="88">
        <f>IF(G17=2,250000,300000)</f>
        <v>250000</v>
      </c>
      <c r="I444" s="89"/>
      <c r="J444" s="209">
        <v>0</v>
      </c>
      <c r="K444" s="156"/>
      <c r="L444" s="41"/>
      <c r="M444" s="86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75" customHeight="1">
      <c r="A445" s="167" t="s">
        <v>85</v>
      </c>
      <c r="B445" s="156"/>
      <c r="C445" s="213">
        <f>SUM(C430:D444)</f>
        <v>0</v>
      </c>
      <c r="D445" s="156"/>
      <c r="E445" s="73"/>
      <c r="F445" s="42" t="s">
        <v>124</v>
      </c>
      <c r="G445" s="41" t="str">
        <f>IF(G17=2,"From 250001 to 500000","From 300001 to 500000")</f>
        <v>From 250001 to 500000</v>
      </c>
      <c r="H445" s="41"/>
      <c r="I445" s="43"/>
      <c r="J445" s="209">
        <f>IF(M442&gt;500000,500000-H444,IF(M442&gt;H444,M442-H444," "))</f>
        <v>250000</v>
      </c>
      <c r="K445" s="156"/>
      <c r="L445" s="44">
        <v>0.05</v>
      </c>
      <c r="M445" s="90">
        <f>IF(J445=" "," ",ROUND(J445*L445,0))</f>
        <v>12500</v>
      </c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75" customHeight="1">
      <c r="A446" s="72"/>
      <c r="B446" s="73"/>
      <c r="C446" s="73"/>
      <c r="D446" s="73"/>
      <c r="E446" s="73"/>
      <c r="F446" s="45" t="s">
        <v>125</v>
      </c>
      <c r="G446" s="43" t="s">
        <v>126</v>
      </c>
      <c r="H446" s="43"/>
      <c r="I446" s="43"/>
      <c r="J446" s="214">
        <f>IF(M442&gt; 1000000,500000,IF(M442&gt;500000,M442-500000,0))</f>
        <v>500000</v>
      </c>
      <c r="K446" s="156"/>
      <c r="L446" s="44">
        <v>0.2</v>
      </c>
      <c r="M446" s="90">
        <f t="shared" ref="M446:M447" si="18">IF(J446=0,0,ROUND(J446*L446,0))</f>
        <v>100000</v>
      </c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75" customHeight="1">
      <c r="A447" s="72"/>
      <c r="B447" s="73"/>
      <c r="C447" s="73"/>
      <c r="D447" s="73"/>
      <c r="E447" s="73"/>
      <c r="F447" s="46" t="s">
        <v>127</v>
      </c>
      <c r="G447" s="47" t="s">
        <v>128</v>
      </c>
      <c r="H447" s="48"/>
      <c r="I447" s="48"/>
      <c r="J447" s="209">
        <f>IF(M442&gt;1000000,M442-1000000,0)</f>
        <v>244348</v>
      </c>
      <c r="K447" s="156"/>
      <c r="L447" s="49">
        <v>0.3</v>
      </c>
      <c r="M447" s="91">
        <f t="shared" si="18"/>
        <v>73304</v>
      </c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75" customHeight="1">
      <c r="A448" s="210" t="str">
        <f>B405</f>
        <v>Vikas Verma</v>
      </c>
      <c r="B448" s="137"/>
      <c r="C448" s="137"/>
      <c r="D448" s="137"/>
      <c r="E448" s="50"/>
      <c r="F448" s="34">
        <v>4</v>
      </c>
      <c r="G448" s="211" t="s">
        <v>129</v>
      </c>
      <c r="H448" s="155"/>
      <c r="I448" s="155"/>
      <c r="J448" s="155"/>
      <c r="K448" s="155"/>
      <c r="L448" s="156"/>
      <c r="M448" s="90">
        <f>IF(M442&gt;500000,0,IF(M445&gt;12500,12500,M445))</f>
        <v>0</v>
      </c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75" customHeight="1">
      <c r="A449" s="177" t="str">
        <f>"("&amp;B407 &amp;")"&amp;" "&amp;B406&amp;" "&amp;C406</f>
        <v xml:space="preserve">(AT) PS PEETHAPUR </v>
      </c>
      <c r="B449" s="137"/>
      <c r="C449" s="137"/>
      <c r="D449" s="137"/>
      <c r="E449" s="51"/>
      <c r="F449" s="34">
        <v>5</v>
      </c>
      <c r="G449" s="211" t="s">
        <v>130</v>
      </c>
      <c r="H449" s="155"/>
      <c r="I449" s="155"/>
      <c r="J449" s="155"/>
      <c r="K449" s="155"/>
      <c r="L449" s="156"/>
      <c r="M449" s="92">
        <f>SUM(J444+M445+M446+M447-M448)</f>
        <v>185804</v>
      </c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75" customHeight="1">
      <c r="A450" s="177" t="str">
        <f>E407&amp;", "&amp;J407</f>
        <v>SIRAULIGAUSPUR, BARABANKI</v>
      </c>
      <c r="B450" s="137"/>
      <c r="C450" s="137"/>
      <c r="D450" s="137"/>
      <c r="E450" s="51"/>
      <c r="F450" s="34">
        <v>6</v>
      </c>
      <c r="G450" s="211" t="s">
        <v>131</v>
      </c>
      <c r="H450" s="155"/>
      <c r="I450" s="155"/>
      <c r="J450" s="155"/>
      <c r="K450" s="155"/>
      <c r="L450" s="156"/>
      <c r="M450" s="92">
        <f>ROUND(M449*4%,0)</f>
        <v>7432</v>
      </c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75" customHeight="1">
      <c r="A451" s="72"/>
      <c r="B451" s="93"/>
      <c r="C451" s="93"/>
      <c r="D451" s="93"/>
      <c r="E451" s="73"/>
      <c r="F451" s="34">
        <v>7</v>
      </c>
      <c r="G451" s="211" t="s">
        <v>132</v>
      </c>
      <c r="H451" s="155"/>
      <c r="I451" s="155"/>
      <c r="J451" s="155"/>
      <c r="K451" s="155"/>
      <c r="L451" s="156"/>
      <c r="M451" s="92">
        <f>SUM(M449:M450)</f>
        <v>193236</v>
      </c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75" customHeight="1">
      <c r="A452" s="72"/>
      <c r="B452" s="73"/>
      <c r="C452" s="73"/>
      <c r="D452" s="73"/>
      <c r="E452" s="73"/>
      <c r="F452" s="34">
        <v>8</v>
      </c>
      <c r="G452" s="211" t="s">
        <v>133</v>
      </c>
      <c r="H452" s="155"/>
      <c r="I452" s="155"/>
      <c r="J452" s="155"/>
      <c r="K452" s="155"/>
      <c r="L452" s="156"/>
      <c r="M452" s="92">
        <v>0</v>
      </c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75" customHeight="1">
      <c r="A453" s="72"/>
      <c r="B453" s="73"/>
      <c r="C453" s="73"/>
      <c r="D453" s="73"/>
      <c r="E453" s="73"/>
      <c r="F453" s="34">
        <v>9</v>
      </c>
      <c r="G453" s="211" t="s">
        <v>134</v>
      </c>
      <c r="H453" s="155"/>
      <c r="I453" s="155"/>
      <c r="J453" s="155"/>
      <c r="K453" s="155"/>
      <c r="L453" s="156"/>
      <c r="M453" s="92">
        <f>SUM(M451-M452)</f>
        <v>193236</v>
      </c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75" customHeight="1">
      <c r="A454" s="153" t="s">
        <v>135</v>
      </c>
      <c r="B454" s="137"/>
      <c r="C454" s="137"/>
      <c r="D454" s="137"/>
      <c r="E454" s="52"/>
      <c r="F454" s="34">
        <v>10</v>
      </c>
      <c r="G454" s="211" t="s">
        <v>136</v>
      </c>
      <c r="H454" s="155"/>
      <c r="I454" s="155"/>
      <c r="J454" s="155"/>
      <c r="K454" s="155"/>
      <c r="L454" s="156"/>
      <c r="M454" s="92">
        <f>L426</f>
        <v>0</v>
      </c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75" customHeight="1">
      <c r="A455" s="153" t="str">
        <f>E407&amp;", "&amp;J407</f>
        <v>SIRAULIGAUSPUR, BARABANKI</v>
      </c>
      <c r="B455" s="137"/>
      <c r="C455" s="137"/>
      <c r="D455" s="137"/>
      <c r="E455" s="52"/>
      <c r="F455" s="34">
        <v>11</v>
      </c>
      <c r="G455" s="193" t="str">
        <f>IF(M454&gt;M453,"TAX REFUNDABLE","TAX PAYABLE")</f>
        <v>TAX PAYABLE</v>
      </c>
      <c r="H455" s="155"/>
      <c r="I455" s="155"/>
      <c r="J455" s="155"/>
      <c r="K455" s="155"/>
      <c r="L455" s="156"/>
      <c r="M455" s="94">
        <f>IF(M453&gt;M454,SUM(M453-M454),IF(M454&gt;M453,SUM(M454-M453),0))</f>
        <v>193236</v>
      </c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75" customHeight="1">
      <c r="A456" s="183"/>
      <c r="B456" s="123"/>
      <c r="C456" s="123"/>
      <c r="D456" s="123"/>
      <c r="E456" s="123"/>
      <c r="F456" s="123"/>
      <c r="G456" s="123"/>
      <c r="H456" s="123"/>
      <c r="I456" s="123"/>
      <c r="J456" s="123"/>
      <c r="K456" s="123"/>
      <c r="L456" s="123"/>
      <c r="M456" s="134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75" customHeight="1">
      <c r="A457" s="72"/>
      <c r="B457" s="73"/>
      <c r="C457" s="73"/>
      <c r="D457" s="73"/>
      <c r="E457" s="73"/>
      <c r="F457" s="73"/>
      <c r="G457" s="73"/>
      <c r="H457" s="73"/>
      <c r="I457" s="73"/>
      <c r="J457" s="73"/>
      <c r="K457" s="73"/>
      <c r="L457" s="73"/>
      <c r="M457" s="74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75" customHeight="1">
      <c r="A458" s="95"/>
      <c r="B458" s="96"/>
      <c r="C458" s="96"/>
      <c r="D458" s="96"/>
      <c r="E458" s="96"/>
      <c r="F458" s="96"/>
      <c r="G458" s="96"/>
      <c r="H458" s="96"/>
      <c r="I458" s="96"/>
      <c r="J458" s="96"/>
      <c r="K458" s="96"/>
      <c r="L458" s="96"/>
      <c r="M458" s="97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.8" customHeight="1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75" customHeight="1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75" customHeight="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6" customHeight="1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75" customHeight="1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28.2" customHeight="1">
      <c r="A464" s="184" t="s">
        <v>137</v>
      </c>
      <c r="B464" s="185"/>
      <c r="C464" s="185"/>
      <c r="D464" s="185"/>
      <c r="E464" s="185"/>
      <c r="F464" s="185"/>
      <c r="G464" s="185"/>
      <c r="H464" s="185"/>
      <c r="I464" s="185"/>
      <c r="J464" s="185"/>
      <c r="K464" s="185"/>
      <c r="L464" s="185"/>
      <c r="M464" s="186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25.8" customHeight="1">
      <c r="A465" s="187" t="s">
        <v>56</v>
      </c>
      <c r="B465" s="137"/>
      <c r="C465" s="137"/>
      <c r="D465" s="137"/>
      <c r="E465" s="137"/>
      <c r="F465" s="137"/>
      <c r="G465" s="137"/>
      <c r="H465" s="137"/>
      <c r="I465" s="137"/>
      <c r="J465" s="137"/>
      <c r="K465" s="137"/>
      <c r="L465" s="137"/>
      <c r="M465" s="127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75" customHeight="1">
      <c r="A466" s="60" t="s">
        <v>57</v>
      </c>
      <c r="B466" s="188" t="str">
        <f>G12</f>
        <v>FPDX**X*X75H</v>
      </c>
      <c r="C466" s="156"/>
      <c r="D466" s="9" t="s">
        <v>2</v>
      </c>
      <c r="E466" s="189">
        <f>G3</f>
        <v>525032</v>
      </c>
      <c r="F466" s="155"/>
      <c r="G466" s="156"/>
      <c r="H466" s="165" t="s">
        <v>58</v>
      </c>
      <c r="I466" s="155"/>
      <c r="J466" s="190">
        <f>G4</f>
        <v>33816</v>
      </c>
      <c r="K466" s="130"/>
      <c r="L466" s="10" t="s">
        <v>59</v>
      </c>
      <c r="M466" s="61">
        <f>G5</f>
        <v>9807409730</v>
      </c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75" customHeight="1">
      <c r="A467" s="60" t="s">
        <v>60</v>
      </c>
      <c r="B467" s="154" t="str">
        <f>G2</f>
        <v>Vikas Verma</v>
      </c>
      <c r="C467" s="155"/>
      <c r="D467" s="155"/>
      <c r="E467" s="155"/>
      <c r="F467" s="155"/>
      <c r="G467" s="156"/>
      <c r="H467" s="157" t="s">
        <v>61</v>
      </c>
      <c r="I467" s="142"/>
      <c r="J467" s="158">
        <f t="shared" ref="J467:J468" si="19">G10</f>
        <v>39210110002424</v>
      </c>
      <c r="K467" s="159"/>
      <c r="L467" s="159"/>
      <c r="M467" s="160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75" customHeight="1">
      <c r="A468" s="62" t="s">
        <v>62</v>
      </c>
      <c r="B468" s="154" t="str">
        <f t="shared" ref="B468:B469" si="20">G6</f>
        <v>PS PEETHAPUR</v>
      </c>
      <c r="C468" s="155"/>
      <c r="D468" s="155"/>
      <c r="E468" s="155"/>
      <c r="F468" s="155"/>
      <c r="G468" s="156"/>
      <c r="H468" s="157" t="s">
        <v>138</v>
      </c>
      <c r="I468" s="142"/>
      <c r="J468" s="161" t="str">
        <f t="shared" si="19"/>
        <v>ABC XYZ</v>
      </c>
      <c r="K468" s="117"/>
      <c r="L468" s="117"/>
      <c r="M468" s="118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75" customHeight="1">
      <c r="A469" s="63" t="s">
        <v>64</v>
      </c>
      <c r="B469" s="162" t="str">
        <f t="shared" si="20"/>
        <v>AT</v>
      </c>
      <c r="C469" s="130"/>
      <c r="D469" s="11" t="s">
        <v>65</v>
      </c>
      <c r="E469" s="163" t="str">
        <f>G8</f>
        <v>SIRAULIGAUSPUR</v>
      </c>
      <c r="F469" s="155"/>
      <c r="G469" s="156"/>
      <c r="H469" s="165" t="s">
        <v>66</v>
      </c>
      <c r="I469" s="156"/>
      <c r="J469" s="163" t="str">
        <f>G9</f>
        <v>BARABANKI</v>
      </c>
      <c r="K469" s="155"/>
      <c r="L469" s="155"/>
      <c r="M469" s="164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75" customHeight="1">
      <c r="A470" s="64"/>
      <c r="B470" s="65"/>
      <c r="C470" s="65"/>
      <c r="D470" s="65"/>
      <c r="E470" s="65"/>
      <c r="F470" s="65"/>
      <c r="G470" s="65"/>
      <c r="H470" s="65"/>
      <c r="I470" s="65"/>
      <c r="J470" s="65"/>
      <c r="K470" s="65"/>
      <c r="L470" s="65"/>
      <c r="M470" s="66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37.200000000000003" customHeight="1">
      <c r="A471" s="67" t="s">
        <v>67</v>
      </c>
      <c r="B471" s="12" t="s">
        <v>68</v>
      </c>
      <c r="C471" s="13" t="s">
        <v>69</v>
      </c>
      <c r="D471" s="14" t="s">
        <v>70</v>
      </c>
      <c r="E471" s="14" t="s">
        <v>71</v>
      </c>
      <c r="F471" s="14" t="s">
        <v>139</v>
      </c>
      <c r="G471" s="15" t="s">
        <v>72</v>
      </c>
      <c r="H471" s="13" t="s">
        <v>73</v>
      </c>
      <c r="I471" s="15" t="s">
        <v>74</v>
      </c>
      <c r="J471" s="15" t="s">
        <v>75</v>
      </c>
      <c r="K471" s="14" t="s">
        <v>76</v>
      </c>
      <c r="L471" s="14" t="s">
        <v>77</v>
      </c>
      <c r="M471" s="68" t="s">
        <v>78</v>
      </c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75" customHeight="1">
      <c r="A472" s="69">
        <v>45717</v>
      </c>
      <c r="B472" s="16">
        <f>G14</f>
        <v>4200</v>
      </c>
      <c r="C472" s="16">
        <f>G13</f>
        <v>66000</v>
      </c>
      <c r="D472" s="17">
        <f>C472*0.53</f>
        <v>34980</v>
      </c>
      <c r="E472" s="16">
        <f>G15</f>
        <v>1340</v>
      </c>
      <c r="F472" s="18"/>
      <c r="G472" s="16">
        <f>IF(AND(G22=1,G24=1),(C472+D472)*14%,0)</f>
        <v>0</v>
      </c>
      <c r="H472" s="16">
        <f t="shared" ref="H472:H483" si="21">SUM(C472:G472)</f>
        <v>102320</v>
      </c>
      <c r="I472" s="19">
        <f>IF((AND(G22=2,G25=1)),(C472*0.1),0)</f>
        <v>0</v>
      </c>
      <c r="J472" s="20">
        <f>IF((AND(G22=1)),ROUND((C472+D472)*0.1,0),0)</f>
        <v>0</v>
      </c>
      <c r="K472" s="20">
        <f>IF(G20=1,87,0)</f>
        <v>0</v>
      </c>
      <c r="L472" s="21">
        <f>G43</f>
        <v>0</v>
      </c>
      <c r="M472" s="70">
        <f t="shared" ref="M472:M483" si="22">SUM(H472-I472-J472-K472-L472)</f>
        <v>102320</v>
      </c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75" customHeight="1">
      <c r="A473" s="69">
        <v>45748</v>
      </c>
      <c r="B473" s="16">
        <f>G14</f>
        <v>4200</v>
      </c>
      <c r="C473" s="16">
        <f>G13</f>
        <v>66000</v>
      </c>
      <c r="D473" s="22">
        <f t="shared" ref="D473:D478" si="23">C473*0.55</f>
        <v>36300</v>
      </c>
      <c r="E473" s="16">
        <f>G15</f>
        <v>1340</v>
      </c>
      <c r="F473" s="18"/>
      <c r="G473" s="16">
        <f>IF(AND(G22=1,G24=1),(C473+D473)*14%,0)</f>
        <v>0</v>
      </c>
      <c r="H473" s="16">
        <f t="shared" si="21"/>
        <v>103640</v>
      </c>
      <c r="I473" s="19">
        <f>IF((AND(G22=2,G25=1)),(C473*0.1),0)</f>
        <v>0</v>
      </c>
      <c r="J473" s="20">
        <f>IF(G22=1,ROUND((C473+D473)*0.1,0),0)</f>
        <v>0</v>
      </c>
      <c r="K473" s="20">
        <f t="shared" ref="K473:K477" si="24">K472</f>
        <v>0</v>
      </c>
      <c r="L473" s="21">
        <f>G43</f>
        <v>0</v>
      </c>
      <c r="M473" s="70">
        <f t="shared" si="22"/>
        <v>103640</v>
      </c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75" customHeight="1">
      <c r="A474" s="69">
        <v>45778</v>
      </c>
      <c r="B474" s="16">
        <f t="shared" ref="B474:B483" si="25">B473</f>
        <v>4200</v>
      </c>
      <c r="C474" s="16">
        <f>G13</f>
        <v>66000</v>
      </c>
      <c r="D474" s="22">
        <f t="shared" si="23"/>
        <v>36300</v>
      </c>
      <c r="E474" s="16">
        <f t="shared" ref="E474:E483" si="26">E473</f>
        <v>1340</v>
      </c>
      <c r="F474" s="18"/>
      <c r="G474" s="16">
        <f>IF(AND(G22=1,G24=1),(C474+D474)*14%,0)</f>
        <v>0</v>
      </c>
      <c r="H474" s="16">
        <f t="shared" si="21"/>
        <v>103640</v>
      </c>
      <c r="I474" s="19">
        <f>IF((AND(G22=2,G25=1)),(C474*0.1),0)</f>
        <v>0</v>
      </c>
      <c r="J474" s="20">
        <f>IF(G22=1,ROUND((C474+D474)*0.1,0),0)</f>
        <v>0</v>
      </c>
      <c r="K474" s="20">
        <f t="shared" si="24"/>
        <v>0</v>
      </c>
      <c r="L474" s="21">
        <f t="shared" ref="L474:L481" si="27">L473</f>
        <v>0</v>
      </c>
      <c r="M474" s="70">
        <f t="shared" si="22"/>
        <v>103640</v>
      </c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75" customHeight="1">
      <c r="A475" s="69">
        <v>45809</v>
      </c>
      <c r="B475" s="16">
        <f t="shared" si="25"/>
        <v>4200</v>
      </c>
      <c r="C475" s="16">
        <f>G13</f>
        <v>66000</v>
      </c>
      <c r="D475" s="22">
        <f t="shared" si="23"/>
        <v>36300</v>
      </c>
      <c r="E475" s="16">
        <f t="shared" si="26"/>
        <v>1340</v>
      </c>
      <c r="F475" s="18"/>
      <c r="G475" s="16">
        <f>IF(AND(G22=1,G24=1),(C475+D475)*14%,0)</f>
        <v>0</v>
      </c>
      <c r="H475" s="16">
        <f t="shared" si="21"/>
        <v>103640</v>
      </c>
      <c r="I475" s="19">
        <f>IF((AND(G22=2,G25=1)),(C475*0.1),0)</f>
        <v>0</v>
      </c>
      <c r="J475" s="20">
        <f>IF(G22=1,ROUND((C475+D475)*0.1,0),0)</f>
        <v>0</v>
      </c>
      <c r="K475" s="20">
        <f t="shared" si="24"/>
        <v>0</v>
      </c>
      <c r="L475" s="21">
        <f t="shared" si="27"/>
        <v>0</v>
      </c>
      <c r="M475" s="70">
        <f t="shared" si="22"/>
        <v>103640</v>
      </c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75" customHeight="1">
      <c r="A476" s="69">
        <v>45839</v>
      </c>
      <c r="B476" s="16">
        <f t="shared" si="25"/>
        <v>4200</v>
      </c>
      <c r="C476" s="16">
        <f>IF(G16=1,ROUND(G13*1.03,-2),G13)</f>
        <v>68000</v>
      </c>
      <c r="D476" s="22">
        <f t="shared" si="23"/>
        <v>37400</v>
      </c>
      <c r="E476" s="16">
        <f t="shared" si="26"/>
        <v>1340</v>
      </c>
      <c r="F476" s="18"/>
      <c r="G476" s="16">
        <f>IF(AND(G22=1,G24=1),(C476+D476)*14%,0)</f>
        <v>0</v>
      </c>
      <c r="H476" s="16">
        <f t="shared" si="21"/>
        <v>106740</v>
      </c>
      <c r="I476" s="19">
        <f>IF((AND(G22=2,G25=1)),(C476*0.1),0)</f>
        <v>0</v>
      </c>
      <c r="J476" s="20">
        <f>IF(G22=1,ROUND((C476+D476)*0.1,0),0)</f>
        <v>0</v>
      </c>
      <c r="K476" s="20">
        <f t="shared" si="24"/>
        <v>0</v>
      </c>
      <c r="L476" s="21">
        <f t="shared" si="27"/>
        <v>0</v>
      </c>
      <c r="M476" s="70">
        <f t="shared" si="22"/>
        <v>106740</v>
      </c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75" customHeight="1">
      <c r="A477" s="69">
        <v>45870</v>
      </c>
      <c r="B477" s="16">
        <f t="shared" si="25"/>
        <v>4200</v>
      </c>
      <c r="C477" s="16">
        <f>IF(G16=1,ROUND(G13*1.03,-2),G13)</f>
        <v>68000</v>
      </c>
      <c r="D477" s="22">
        <f t="shared" si="23"/>
        <v>37400</v>
      </c>
      <c r="E477" s="16">
        <f t="shared" si="26"/>
        <v>1340</v>
      </c>
      <c r="F477" s="18"/>
      <c r="G477" s="16">
        <f>IF(AND(G22=1,G24=1),(C477+D477)*14%,0)</f>
        <v>0</v>
      </c>
      <c r="H477" s="16">
        <f t="shared" si="21"/>
        <v>106740</v>
      </c>
      <c r="I477" s="19">
        <f>IF((AND(G22=2,G25=1)),(C477*0.1),0)</f>
        <v>0</v>
      </c>
      <c r="J477" s="20">
        <f>IF(G22=1,ROUND((C477+D477)*0.1,0),0)</f>
        <v>0</v>
      </c>
      <c r="K477" s="20">
        <f t="shared" si="24"/>
        <v>0</v>
      </c>
      <c r="L477" s="21">
        <f t="shared" si="27"/>
        <v>0</v>
      </c>
      <c r="M477" s="70">
        <f t="shared" si="22"/>
        <v>106740</v>
      </c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75" customHeight="1">
      <c r="A478" s="69">
        <v>45918</v>
      </c>
      <c r="B478" s="16">
        <f t="shared" si="25"/>
        <v>4200</v>
      </c>
      <c r="C478" s="16">
        <f>IF(G16=1,ROUND(G13*1.03,-2),G13)</f>
        <v>68000</v>
      </c>
      <c r="D478" s="22">
        <f t="shared" si="23"/>
        <v>37400</v>
      </c>
      <c r="E478" s="16">
        <f t="shared" si="26"/>
        <v>1340</v>
      </c>
      <c r="F478" s="18"/>
      <c r="G478" s="16">
        <f>IF(AND(G22=1,G24=1),(C478+D478)*14%,0)</f>
        <v>0</v>
      </c>
      <c r="H478" s="16">
        <f t="shared" si="21"/>
        <v>106740</v>
      </c>
      <c r="I478" s="19">
        <f>IF((AND(G22=2,G25=1)),(C478*0.1),0)</f>
        <v>0</v>
      </c>
      <c r="J478" s="20">
        <f>IF(G22=1,ROUND((C478+D478)*0.1,0),0)</f>
        <v>0</v>
      </c>
      <c r="K478" s="20">
        <f>IF(G20=1,87,0)</f>
        <v>0</v>
      </c>
      <c r="L478" s="21">
        <f t="shared" si="27"/>
        <v>0</v>
      </c>
      <c r="M478" s="70">
        <f t="shared" si="22"/>
        <v>106740</v>
      </c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75" customHeight="1">
      <c r="A479" s="69">
        <v>45931</v>
      </c>
      <c r="B479" s="16">
        <f t="shared" si="25"/>
        <v>4200</v>
      </c>
      <c r="C479" s="16">
        <f>IF(G16=1,ROUND(G13*1.03,-2),G13)</f>
        <v>68000</v>
      </c>
      <c r="D479" s="22">
        <f>IF(G21=1,C481*0.58,C481*0.55)</f>
        <v>39440</v>
      </c>
      <c r="E479" s="16">
        <f t="shared" si="26"/>
        <v>1340</v>
      </c>
      <c r="F479" s="18"/>
      <c r="G479" s="16">
        <f>IF(AND(G22=1,G24=1),(C479+D479)*14%,0)</f>
        <v>0</v>
      </c>
      <c r="H479" s="16">
        <f t="shared" si="21"/>
        <v>108780</v>
      </c>
      <c r="I479" s="19">
        <f>IF((AND(G22=2,G25=1)),(C479*0.1),0)</f>
        <v>0</v>
      </c>
      <c r="J479" s="20">
        <f>IF(G22=1,ROUND((C479+D479)*0.1,0),0)</f>
        <v>0</v>
      </c>
      <c r="K479" s="20">
        <f>IF(G20=1,87,0)</f>
        <v>0</v>
      </c>
      <c r="L479" s="21">
        <f t="shared" si="27"/>
        <v>0</v>
      </c>
      <c r="M479" s="70">
        <f t="shared" si="22"/>
        <v>108780</v>
      </c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75" customHeight="1">
      <c r="A480" s="69">
        <v>45962</v>
      </c>
      <c r="B480" s="16">
        <f t="shared" si="25"/>
        <v>4200</v>
      </c>
      <c r="C480" s="16">
        <f>IF(G16=1,ROUND(G13*1.03,-2),G13)</f>
        <v>68000</v>
      </c>
      <c r="D480" s="22">
        <f>C481*0.58</f>
        <v>39440</v>
      </c>
      <c r="E480" s="16">
        <f t="shared" si="26"/>
        <v>1340</v>
      </c>
      <c r="F480" s="18"/>
      <c r="G480" s="16">
        <f>IF(AND(G22=1,G24=1),(C480+D480)*14%,0)</f>
        <v>0</v>
      </c>
      <c r="H480" s="16">
        <f t="shared" si="21"/>
        <v>108780</v>
      </c>
      <c r="I480" s="19">
        <f>IF((AND(G22=2,G25=1)),(C480*0.1),0)</f>
        <v>0</v>
      </c>
      <c r="J480" s="20">
        <f>IF(G22=1,ROUND((C480+D480)*0.1,0),0)</f>
        <v>0</v>
      </c>
      <c r="K480" s="20">
        <f>IF(G20=1,87,0)</f>
        <v>0</v>
      </c>
      <c r="L480" s="21">
        <f t="shared" si="27"/>
        <v>0</v>
      </c>
      <c r="M480" s="70">
        <f t="shared" si="22"/>
        <v>108780</v>
      </c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75" customHeight="1">
      <c r="A481" s="69">
        <v>45992</v>
      </c>
      <c r="B481" s="16">
        <f t="shared" si="25"/>
        <v>4200</v>
      </c>
      <c r="C481" s="16">
        <f>IF(G16=1,ROUND(G13*1.03,-2),G13)</f>
        <v>68000</v>
      </c>
      <c r="D481" s="22">
        <f>C480*0.58</f>
        <v>39440</v>
      </c>
      <c r="E481" s="16">
        <f t="shared" si="26"/>
        <v>1340</v>
      </c>
      <c r="F481" s="18"/>
      <c r="G481" s="16">
        <f>IF(AND(G22=1,G24=1),(C481+D481)*14%,0)</f>
        <v>0</v>
      </c>
      <c r="H481" s="16">
        <f t="shared" si="21"/>
        <v>108780</v>
      </c>
      <c r="I481" s="19">
        <f>IF((AND(G22=2,G25=1)),(C481*0.1),0)</f>
        <v>0</v>
      </c>
      <c r="J481" s="20">
        <f>IF(G22=1,ROUND((C481+D481)*0.1,0),0)</f>
        <v>0</v>
      </c>
      <c r="K481" s="20">
        <f>IF(G20=1,87,0)</f>
        <v>0</v>
      </c>
      <c r="L481" s="21">
        <f t="shared" si="27"/>
        <v>0</v>
      </c>
      <c r="M481" s="70">
        <f t="shared" si="22"/>
        <v>108780</v>
      </c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75" customHeight="1">
      <c r="A482" s="69">
        <v>46023</v>
      </c>
      <c r="B482" s="16">
        <f t="shared" si="25"/>
        <v>4200</v>
      </c>
      <c r="C482" s="16">
        <f>IF(G16=1,ROUND(G13*1.03,-2),ROUND(G13*1.03,-2))</f>
        <v>68000</v>
      </c>
      <c r="D482" s="22">
        <f t="shared" ref="D482:D483" si="28">C482*0.58</f>
        <v>39440</v>
      </c>
      <c r="E482" s="16">
        <f t="shared" si="26"/>
        <v>1340</v>
      </c>
      <c r="F482" s="18"/>
      <c r="G482" s="16">
        <f>IF(AND(G22=1,G24=1),(C482+D482)*14%,0)</f>
        <v>0</v>
      </c>
      <c r="H482" s="16">
        <f t="shared" si="21"/>
        <v>108780</v>
      </c>
      <c r="I482" s="19">
        <f>IF((AND(G22=2,G25=1)),(C482*0.1),0)</f>
        <v>0</v>
      </c>
      <c r="J482" s="20">
        <f>IF(G22=1,ROUND((C482+D482)*0.1,0),0)</f>
        <v>0</v>
      </c>
      <c r="K482" s="20">
        <f>IF(G20=1,87,0)</f>
        <v>0</v>
      </c>
      <c r="L482" s="21"/>
      <c r="M482" s="70">
        <f t="shared" si="22"/>
        <v>108780</v>
      </c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75" customHeight="1">
      <c r="A483" s="69">
        <v>46054</v>
      </c>
      <c r="B483" s="16">
        <f t="shared" si="25"/>
        <v>4200</v>
      </c>
      <c r="C483" s="16">
        <f>IF(G16=1,ROUND(G13*1.03,-2),ROUND(G13*1.03,-2))</f>
        <v>68000</v>
      </c>
      <c r="D483" s="22">
        <f t="shared" si="28"/>
        <v>39440</v>
      </c>
      <c r="E483" s="16">
        <f t="shared" si="26"/>
        <v>1340</v>
      </c>
      <c r="F483" s="18"/>
      <c r="G483" s="16">
        <f>IF(AND(G22=1,G24=1),(C483+D483)*14%,0)</f>
        <v>0</v>
      </c>
      <c r="H483" s="16">
        <f t="shared" si="21"/>
        <v>108780</v>
      </c>
      <c r="I483" s="19">
        <f>IF((AND(G22=2,G25=1)),(C483*0.1),0)</f>
        <v>0</v>
      </c>
      <c r="J483" s="20">
        <f>IF(G22=1,ROUND((C483+D483)*0.1,0),0)</f>
        <v>0</v>
      </c>
      <c r="K483" s="20">
        <f>IF(G20=1,87,0)</f>
        <v>0</v>
      </c>
      <c r="L483" s="21"/>
      <c r="M483" s="70">
        <f t="shared" si="22"/>
        <v>108780</v>
      </c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75" customHeight="1">
      <c r="A484" s="168" t="s">
        <v>79</v>
      </c>
      <c r="B484" s="156"/>
      <c r="C484" s="23" t="s">
        <v>80</v>
      </c>
      <c r="D484" s="16"/>
      <c r="E484" s="16"/>
      <c r="F484" s="16"/>
      <c r="G484" s="16">
        <f>IF((AND(G22=1,G24=1)),ROUND(H484*0.14,0),0)</f>
        <v>0</v>
      </c>
      <c r="H484" s="16">
        <f>C472*6%</f>
        <v>3960</v>
      </c>
      <c r="I484" s="20">
        <f>IF((AND(G22=2,G25=1)),(H484),0)</f>
        <v>0</v>
      </c>
      <c r="J484" s="20">
        <f>IF((AND(G22=1,G23=1)),ROUND(H484*0.1,0),0)</f>
        <v>0</v>
      </c>
      <c r="K484" s="20"/>
      <c r="L484" s="24"/>
      <c r="M484" s="70">
        <f t="shared" ref="M484:M485" si="29">SUM(H484-I484-J484-K484-L484+G484)</f>
        <v>3960</v>
      </c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75" customHeight="1">
      <c r="A485" s="168" t="s">
        <v>81</v>
      </c>
      <c r="B485" s="156"/>
      <c r="C485" s="23" t="s">
        <v>82</v>
      </c>
      <c r="D485" s="16"/>
      <c r="E485" s="16"/>
      <c r="F485" s="16"/>
      <c r="G485" s="16">
        <f>IF((AND(G22=1,G24=1)),ROUND(H485*0.14,0),0)</f>
        <v>0</v>
      </c>
      <c r="H485" s="25">
        <f>IF(G21=1,C476*9%,C476*12%)</f>
        <v>6120</v>
      </c>
      <c r="I485" s="20">
        <f>IF((AND(G22=2,G25=1)),(H485),0)</f>
        <v>0</v>
      </c>
      <c r="J485" s="20">
        <f>IF((AND(G22=1,G23=1)),ROUND(H485*0.1,0),0)</f>
        <v>0</v>
      </c>
      <c r="K485" s="20"/>
      <c r="L485" s="24"/>
      <c r="M485" s="70">
        <f t="shared" si="29"/>
        <v>6120</v>
      </c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75" customHeight="1">
      <c r="A486" s="166" t="s">
        <v>83</v>
      </c>
      <c r="B486" s="156"/>
      <c r="C486" s="16"/>
      <c r="D486" s="16"/>
      <c r="E486" s="16"/>
      <c r="F486" s="16"/>
      <c r="G486" s="16"/>
      <c r="H486" s="25">
        <f>IF(G19=1,6908,0)</f>
        <v>6908</v>
      </c>
      <c r="I486" s="20">
        <f>IF((AND(G22=2,G25=1)),(H486*0.75),0)</f>
        <v>0</v>
      </c>
      <c r="J486" s="20"/>
      <c r="K486" s="20"/>
      <c r="L486" s="24"/>
      <c r="M486" s="70">
        <f t="shared" ref="M486:M488" si="30">SUM(H486-I486-J486-K486-L486)</f>
        <v>6908</v>
      </c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75" customHeight="1">
      <c r="A487" s="166" t="s">
        <v>84</v>
      </c>
      <c r="B487" s="156"/>
      <c r="C487" s="24"/>
      <c r="D487" s="24"/>
      <c r="E487" s="24"/>
      <c r="F487" s="24"/>
      <c r="G487" s="24"/>
      <c r="H487" s="26"/>
      <c r="I487" s="20"/>
      <c r="J487" s="20"/>
      <c r="K487" s="20"/>
      <c r="L487" s="24"/>
      <c r="M487" s="70">
        <f t="shared" si="30"/>
        <v>0</v>
      </c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75" customHeight="1">
      <c r="A488" s="167" t="s">
        <v>85</v>
      </c>
      <c r="B488" s="156"/>
      <c r="C488" s="30">
        <f t="shared" ref="C488:E488" si="31">SUM(C472:C487)</f>
        <v>808000</v>
      </c>
      <c r="D488" s="27">
        <f t="shared" si="31"/>
        <v>453280</v>
      </c>
      <c r="E488" s="27">
        <f t="shared" si="31"/>
        <v>16080</v>
      </c>
      <c r="F488" s="14">
        <f>SUM(F472:F483)</f>
        <v>0</v>
      </c>
      <c r="G488" s="29">
        <f>SUM(G472:G485)</f>
        <v>0</v>
      </c>
      <c r="H488" s="27">
        <f>IF(G24=1,SUM(H472:H487,G484,G485),SUM(H472:H487))</f>
        <v>1294348</v>
      </c>
      <c r="I488" s="31">
        <f t="shared" ref="I488:L488" si="32">SUM(I472:I487)</f>
        <v>0</v>
      </c>
      <c r="J488" s="53">
        <f t="shared" si="32"/>
        <v>0</v>
      </c>
      <c r="K488" s="32">
        <f t="shared" si="32"/>
        <v>0</v>
      </c>
      <c r="L488" s="33">
        <f t="shared" si="32"/>
        <v>0</v>
      </c>
      <c r="M488" s="98">
        <f t="shared" si="30"/>
        <v>1294348</v>
      </c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75" customHeight="1">
      <c r="A489" s="72"/>
      <c r="B489" s="73"/>
      <c r="C489" s="73"/>
      <c r="D489" s="73"/>
      <c r="E489" s="73"/>
      <c r="F489" s="73"/>
      <c r="G489" s="73"/>
      <c r="H489" s="73"/>
      <c r="I489" s="73"/>
      <c r="J489" s="73"/>
      <c r="K489" s="73"/>
      <c r="L489" s="73"/>
      <c r="M489" s="74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75" customHeight="1">
      <c r="A490" s="169" t="s">
        <v>180</v>
      </c>
      <c r="B490" s="120"/>
      <c r="C490" s="120"/>
      <c r="D490" s="120"/>
      <c r="E490" s="120"/>
      <c r="F490" s="120"/>
      <c r="G490" s="120"/>
      <c r="H490" s="120"/>
      <c r="I490" s="120"/>
      <c r="J490" s="120"/>
      <c r="K490" s="120"/>
      <c r="L490" s="120"/>
      <c r="M490" s="170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75" customHeight="1">
      <c r="A491" s="191" t="s">
        <v>140</v>
      </c>
      <c r="B491" s="129"/>
      <c r="C491" s="129"/>
      <c r="D491" s="129"/>
      <c r="E491" s="129"/>
      <c r="F491" s="129"/>
      <c r="G491" s="129"/>
      <c r="H491" s="130"/>
      <c r="I491" s="131">
        <f>H488</f>
        <v>1294348</v>
      </c>
      <c r="J491" s="129"/>
      <c r="K491" s="129"/>
      <c r="L491" s="129"/>
      <c r="M491" s="132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75" customHeight="1">
      <c r="A492" s="191" t="s">
        <v>141</v>
      </c>
      <c r="B492" s="129"/>
      <c r="C492" s="129"/>
      <c r="D492" s="129"/>
      <c r="E492" s="129"/>
      <c r="F492" s="129"/>
      <c r="G492" s="129"/>
      <c r="H492" s="130"/>
      <c r="I492" s="116">
        <f>G44+G40</f>
        <v>0</v>
      </c>
      <c r="J492" s="117"/>
      <c r="K492" s="117"/>
      <c r="L492" s="117"/>
      <c r="M492" s="118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75" customHeight="1">
      <c r="A493" s="191" t="s">
        <v>142</v>
      </c>
      <c r="B493" s="129"/>
      <c r="C493" s="129"/>
      <c r="D493" s="129"/>
      <c r="E493" s="129"/>
      <c r="F493" s="129"/>
      <c r="G493" s="129"/>
      <c r="H493" s="130"/>
      <c r="I493" s="192">
        <f>SUM(I491:I492)</f>
        <v>1294348</v>
      </c>
      <c r="J493" s="117"/>
      <c r="K493" s="117"/>
      <c r="L493" s="117"/>
      <c r="M493" s="118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75" customHeight="1">
      <c r="A494" s="191" t="s">
        <v>143</v>
      </c>
      <c r="B494" s="129"/>
      <c r="C494" s="129"/>
      <c r="D494" s="129"/>
      <c r="E494" s="129"/>
      <c r="F494" s="129"/>
      <c r="G494" s="129"/>
      <c r="H494" s="130"/>
      <c r="I494" s="116">
        <v>75000</v>
      </c>
      <c r="J494" s="117"/>
      <c r="K494" s="117"/>
      <c r="L494" s="117"/>
      <c r="M494" s="118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75" customHeight="1">
      <c r="A495" s="191" t="s">
        <v>144</v>
      </c>
      <c r="B495" s="129"/>
      <c r="C495" s="129"/>
      <c r="D495" s="129"/>
      <c r="E495" s="129"/>
      <c r="F495" s="129"/>
      <c r="G495" s="129"/>
      <c r="H495" s="130"/>
      <c r="I495" s="116">
        <f>G488</f>
        <v>0</v>
      </c>
      <c r="J495" s="117"/>
      <c r="K495" s="117"/>
      <c r="L495" s="117"/>
      <c r="M495" s="118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75" customHeight="1">
      <c r="A496" s="191" t="s">
        <v>145</v>
      </c>
      <c r="B496" s="129"/>
      <c r="C496" s="129"/>
      <c r="D496" s="129"/>
      <c r="E496" s="129"/>
      <c r="F496" s="129"/>
      <c r="G496" s="129"/>
      <c r="H496" s="130"/>
      <c r="I496" s="116">
        <f t="shared" ref="I496:I499" si="33">G46</f>
        <v>0</v>
      </c>
      <c r="J496" s="117"/>
      <c r="K496" s="117"/>
      <c r="L496" s="117"/>
      <c r="M496" s="118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75" customHeight="1">
      <c r="A497" s="191" t="s">
        <v>146</v>
      </c>
      <c r="B497" s="129"/>
      <c r="C497" s="129"/>
      <c r="D497" s="129"/>
      <c r="E497" s="129"/>
      <c r="F497" s="129"/>
      <c r="G497" s="129"/>
      <c r="H497" s="130"/>
      <c r="I497" s="116">
        <f t="shared" si="33"/>
        <v>0</v>
      </c>
      <c r="J497" s="117"/>
      <c r="K497" s="117"/>
      <c r="L497" s="117"/>
      <c r="M497" s="118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75" customHeight="1">
      <c r="A498" s="191" t="s">
        <v>147</v>
      </c>
      <c r="B498" s="129"/>
      <c r="C498" s="129"/>
      <c r="D498" s="129"/>
      <c r="E498" s="129"/>
      <c r="F498" s="129"/>
      <c r="G498" s="129"/>
      <c r="H498" s="130"/>
      <c r="I498" s="116">
        <f t="shared" si="33"/>
        <v>0</v>
      </c>
      <c r="J498" s="117"/>
      <c r="K498" s="117"/>
      <c r="L498" s="117"/>
      <c r="M498" s="118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75" customHeight="1">
      <c r="A499" s="119" t="s">
        <v>148</v>
      </c>
      <c r="B499" s="120"/>
      <c r="C499" s="120"/>
      <c r="D499" s="120"/>
      <c r="E499" s="120"/>
      <c r="F499" s="120"/>
      <c r="G499" s="120"/>
      <c r="H499" s="121"/>
      <c r="I499" s="125">
        <f t="shared" si="33"/>
        <v>0</v>
      </c>
      <c r="J499" s="126"/>
      <c r="K499" s="126"/>
      <c r="L499" s="126"/>
      <c r="M499" s="127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0.75" customHeight="1">
      <c r="A500" s="122"/>
      <c r="B500" s="123"/>
      <c r="C500" s="123"/>
      <c r="D500" s="123"/>
      <c r="E500" s="123"/>
      <c r="F500" s="123"/>
      <c r="G500" s="123"/>
      <c r="H500" s="124"/>
      <c r="I500" s="117"/>
      <c r="J500" s="117"/>
      <c r="K500" s="117"/>
      <c r="L500" s="117"/>
      <c r="M500" s="118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75" customHeight="1">
      <c r="A501" s="128" t="s">
        <v>149</v>
      </c>
      <c r="B501" s="129"/>
      <c r="C501" s="129"/>
      <c r="D501" s="129"/>
      <c r="E501" s="129"/>
      <c r="F501" s="129"/>
      <c r="G501" s="129"/>
      <c r="H501" s="130"/>
      <c r="I501" s="131">
        <f>SUM(I493-I494-I495-I496-I497-I498-I499,0)</f>
        <v>1219348</v>
      </c>
      <c r="J501" s="129"/>
      <c r="K501" s="129"/>
      <c r="L501" s="129"/>
      <c r="M501" s="132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75" customHeight="1">
      <c r="A502" s="136" t="s">
        <v>120</v>
      </c>
      <c r="B502" s="137"/>
      <c r="C502" s="137"/>
      <c r="D502" s="137"/>
      <c r="E502" s="137"/>
      <c r="F502" s="137"/>
      <c r="G502" s="137"/>
      <c r="H502" s="137"/>
      <c r="I502" s="137"/>
      <c r="J502" s="137"/>
      <c r="K502" s="137"/>
      <c r="L502" s="137"/>
      <c r="M502" s="138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75" customHeight="1">
      <c r="A503" s="99" t="s">
        <v>122</v>
      </c>
      <c r="B503" s="54" t="s">
        <v>123</v>
      </c>
      <c r="C503" s="55">
        <v>400000</v>
      </c>
      <c r="D503" s="54"/>
      <c r="E503" s="139">
        <v>0</v>
      </c>
      <c r="F503" s="130"/>
      <c r="G503" s="54"/>
      <c r="H503" s="140">
        <v>0</v>
      </c>
      <c r="I503" s="129"/>
      <c r="J503" s="129"/>
      <c r="K503" s="129"/>
      <c r="L503" s="129"/>
      <c r="M503" s="132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75" customHeight="1">
      <c r="A504" s="100" t="s">
        <v>124</v>
      </c>
      <c r="B504" s="56" t="s">
        <v>150</v>
      </c>
      <c r="C504" s="57"/>
      <c r="D504" s="58"/>
      <c r="E504" s="141">
        <f>IF(I501&gt;800000,800000-C503,IF(I501&gt;C503,I501-C503," "))</f>
        <v>400000</v>
      </c>
      <c r="F504" s="142"/>
      <c r="G504" s="59">
        <v>0.05</v>
      </c>
      <c r="H504" s="135">
        <f>IF(E504=" "," ",ROUND(E504*G504,0))</f>
        <v>20000</v>
      </c>
      <c r="I504" s="117"/>
      <c r="J504" s="117"/>
      <c r="K504" s="117"/>
      <c r="L504" s="117"/>
      <c r="M504" s="118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75" customHeight="1">
      <c r="A505" s="100" t="s">
        <v>125</v>
      </c>
      <c r="B505" s="56" t="s">
        <v>151</v>
      </c>
      <c r="C505" s="57"/>
      <c r="D505" s="58"/>
      <c r="E505" s="143">
        <f>IF(I501&gt;1200000,400000,IF(I501&gt;800000,I501-800000,0))</f>
        <v>400000</v>
      </c>
      <c r="F505" s="142"/>
      <c r="G505" s="59">
        <v>0.1</v>
      </c>
      <c r="H505" s="133">
        <f t="shared" ref="H505:H509" si="34">IF(E505=0,0,ROUND(E505*G505,0))</f>
        <v>40000</v>
      </c>
      <c r="I505" s="123"/>
      <c r="J505" s="123"/>
      <c r="K505" s="123"/>
      <c r="L505" s="123"/>
      <c r="M505" s="134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75" customHeight="1">
      <c r="A506" s="100" t="s">
        <v>127</v>
      </c>
      <c r="B506" s="56" t="s">
        <v>152</v>
      </c>
      <c r="C506" s="58"/>
      <c r="D506" s="58"/>
      <c r="E506" s="144">
        <f>IF(I501&gt;1600000,400000,IF(I501&gt;1200000,I501-1200000,0))</f>
        <v>19348</v>
      </c>
      <c r="F506" s="145"/>
      <c r="G506" s="59">
        <v>0.15</v>
      </c>
      <c r="H506" s="135">
        <f t="shared" si="34"/>
        <v>2902</v>
      </c>
      <c r="I506" s="117"/>
      <c r="J506" s="117"/>
      <c r="K506" s="117"/>
      <c r="L506" s="117"/>
      <c r="M506" s="118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75" customHeight="1">
      <c r="A507" s="100" t="s">
        <v>153</v>
      </c>
      <c r="B507" s="56" t="s">
        <v>154</v>
      </c>
      <c r="C507" s="58"/>
      <c r="D507" s="57"/>
      <c r="E507" s="139">
        <f>IF(I501&gt;2000000,400000,IF(I501&gt;1600000,I501-1600000,0))</f>
        <v>0</v>
      </c>
      <c r="F507" s="130"/>
      <c r="G507" s="59">
        <v>0.2</v>
      </c>
      <c r="H507" s="135">
        <f t="shared" si="34"/>
        <v>0</v>
      </c>
      <c r="I507" s="117"/>
      <c r="J507" s="117"/>
      <c r="K507" s="117"/>
      <c r="L507" s="117"/>
      <c r="M507" s="118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75" customHeight="1">
      <c r="A508" s="100" t="s">
        <v>155</v>
      </c>
      <c r="B508" s="56" t="s">
        <v>156</v>
      </c>
      <c r="C508" s="57"/>
      <c r="D508" s="57"/>
      <c r="E508" s="139">
        <f>IF(I501&gt;2400000,400000,IF(I501&gt;2000000,I501-2000000,0))</f>
        <v>0</v>
      </c>
      <c r="F508" s="130"/>
      <c r="G508" s="59">
        <v>0.25</v>
      </c>
      <c r="H508" s="135">
        <f t="shared" si="34"/>
        <v>0</v>
      </c>
      <c r="I508" s="117"/>
      <c r="J508" s="117"/>
      <c r="K508" s="117"/>
      <c r="L508" s="117"/>
      <c r="M508" s="118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75" customHeight="1">
      <c r="A509" s="100" t="s">
        <v>157</v>
      </c>
      <c r="B509" s="178" t="s">
        <v>158</v>
      </c>
      <c r="C509" s="117"/>
      <c r="D509" s="117"/>
      <c r="E509" s="139">
        <f>IF(I501&gt;2400000,I501-2400000,0)</f>
        <v>0</v>
      </c>
      <c r="F509" s="130"/>
      <c r="G509" s="59">
        <v>0.3</v>
      </c>
      <c r="H509" s="135">
        <f t="shared" si="34"/>
        <v>0</v>
      </c>
      <c r="I509" s="117"/>
      <c r="J509" s="117"/>
      <c r="K509" s="117"/>
      <c r="L509" s="117"/>
      <c r="M509" s="118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75" customHeight="1">
      <c r="A510" s="101" t="s">
        <v>159</v>
      </c>
      <c r="B510" s="174" t="s">
        <v>129</v>
      </c>
      <c r="C510" s="155"/>
      <c r="D510" s="155"/>
      <c r="E510" s="155"/>
      <c r="F510" s="155"/>
      <c r="G510" s="156"/>
      <c r="H510" s="135">
        <f>IF(I501&gt;1200000,0,IF(H504&lt;20000,H504,(H504+H505)))</f>
        <v>0</v>
      </c>
      <c r="I510" s="117"/>
      <c r="J510" s="117"/>
      <c r="K510" s="117"/>
      <c r="L510" s="117"/>
      <c r="M510" s="118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75" customHeight="1">
      <c r="A511" s="100" t="s">
        <v>160</v>
      </c>
      <c r="B511" s="175" t="s">
        <v>161</v>
      </c>
      <c r="C511" s="155"/>
      <c r="D511" s="155"/>
      <c r="E511" s="155"/>
      <c r="F511" s="155"/>
      <c r="G511" s="156"/>
      <c r="H511" s="176">
        <f>IF(I501&lt;=1200000,0,
 IF(I501&gt;=1275000,0,
  MAX(0,(SUM(H503:H509)-H510)-(I501-1200000))
 ))</f>
        <v>43554</v>
      </c>
      <c r="I511" s="155"/>
      <c r="J511" s="155"/>
      <c r="K511" s="155"/>
      <c r="L511" s="155"/>
      <c r="M511" s="164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75" customHeight="1">
      <c r="A512" s="100" t="s">
        <v>162</v>
      </c>
      <c r="B512" s="149" t="s">
        <v>130</v>
      </c>
      <c r="C512" s="117"/>
      <c r="D512" s="117"/>
      <c r="E512" s="117"/>
      <c r="F512" s="117"/>
      <c r="G512" s="142"/>
      <c r="H512" s="135">
        <f>SUM(H503+H504+H505+H506+H507+H508+H509-H510-H511)</f>
        <v>19348</v>
      </c>
      <c r="I512" s="117"/>
      <c r="J512" s="117"/>
      <c r="K512" s="117"/>
      <c r="L512" s="117"/>
      <c r="M512" s="118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75" customHeight="1">
      <c r="A513" s="100" t="s">
        <v>163</v>
      </c>
      <c r="B513" s="149" t="s">
        <v>131</v>
      </c>
      <c r="C513" s="117"/>
      <c r="D513" s="117"/>
      <c r="E513" s="117"/>
      <c r="F513" s="117"/>
      <c r="G513" s="142"/>
      <c r="H513" s="135">
        <f>ROUND(H512*4%,0)</f>
        <v>774</v>
      </c>
      <c r="I513" s="117"/>
      <c r="J513" s="117"/>
      <c r="K513" s="117"/>
      <c r="L513" s="117"/>
      <c r="M513" s="118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75" customHeight="1">
      <c r="A514" s="102">
        <v>5</v>
      </c>
      <c r="B514" s="149" t="s">
        <v>164</v>
      </c>
      <c r="C514" s="117"/>
      <c r="D514" s="117"/>
      <c r="E514" s="117"/>
      <c r="F514" s="117"/>
      <c r="G514" s="142"/>
      <c r="H514" s="133">
        <f>SUM(H512:H513)</f>
        <v>20122</v>
      </c>
      <c r="I514" s="123"/>
      <c r="J514" s="123"/>
      <c r="K514" s="123"/>
      <c r="L514" s="123"/>
      <c r="M514" s="134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75" customHeight="1">
      <c r="A515" s="102">
        <v>6</v>
      </c>
      <c r="B515" s="150" t="s">
        <v>133</v>
      </c>
      <c r="C515" s="117"/>
      <c r="D515" s="117"/>
      <c r="E515" s="117"/>
      <c r="F515" s="117"/>
      <c r="G515" s="142"/>
      <c r="H515" s="179">
        <f>G42</f>
        <v>0</v>
      </c>
      <c r="I515" s="137"/>
      <c r="J515" s="137"/>
      <c r="K515" s="137"/>
      <c r="L515" s="137"/>
      <c r="M515" s="127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75" customHeight="1">
      <c r="A516" s="102">
        <v>7</v>
      </c>
      <c r="B516" s="151" t="s">
        <v>165</v>
      </c>
      <c r="C516" s="117"/>
      <c r="D516" s="117"/>
      <c r="E516" s="117"/>
      <c r="F516" s="117"/>
      <c r="G516" s="142"/>
      <c r="H516" s="180">
        <f>SUM(H514-H515)</f>
        <v>20122</v>
      </c>
      <c r="I516" s="181"/>
      <c r="J516" s="181"/>
      <c r="K516" s="181"/>
      <c r="L516" s="181"/>
      <c r="M516" s="182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75" customHeight="1">
      <c r="A517" s="103">
        <v>8</v>
      </c>
      <c r="B517" s="150" t="s">
        <v>136</v>
      </c>
      <c r="C517" s="117"/>
      <c r="D517" s="117"/>
      <c r="E517" s="117"/>
      <c r="F517" s="117"/>
      <c r="G517" s="142"/>
      <c r="H517" s="135">
        <f>L488</f>
        <v>0</v>
      </c>
      <c r="I517" s="117"/>
      <c r="J517" s="117"/>
      <c r="K517" s="117"/>
      <c r="L517" s="117"/>
      <c r="M517" s="118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75" customHeight="1">
      <c r="A518" s="103">
        <v>9</v>
      </c>
      <c r="B518" s="152" t="str">
        <f>IF(H517&gt;H516,"TAX REFUNDABLE","TAX PAYABLE")</f>
        <v>TAX PAYABLE</v>
      </c>
      <c r="C518" s="137"/>
      <c r="D518" s="137"/>
      <c r="E518" s="137"/>
      <c r="F518" s="137"/>
      <c r="G518" s="145"/>
      <c r="H518" s="171">
        <f>IF(H516&gt;H517,SUM(H516-H517),IF(H517&gt;H516,SUM(H517-H516),0))</f>
        <v>20122</v>
      </c>
      <c r="I518" s="137"/>
      <c r="J518" s="137"/>
      <c r="K518" s="137"/>
      <c r="L518" s="137"/>
      <c r="M518" s="127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6" customHeight="1">
      <c r="A519" s="104"/>
      <c r="B519" s="105"/>
      <c r="C519" s="105"/>
      <c r="D519" s="105"/>
      <c r="E519" s="106"/>
      <c r="F519" s="107"/>
      <c r="G519" s="172"/>
      <c r="H519" s="120"/>
      <c r="I519" s="120"/>
      <c r="J519" s="120"/>
      <c r="K519" s="120"/>
      <c r="L519" s="120"/>
      <c r="M519" s="108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31.2" customHeight="1">
      <c r="A520" s="153" t="str">
        <f>B467</f>
        <v>Vikas Verma</v>
      </c>
      <c r="B520" s="137"/>
      <c r="C520" s="137"/>
      <c r="D520" s="137"/>
      <c r="E520" s="73"/>
      <c r="F520" s="109"/>
      <c r="G520" s="73"/>
      <c r="H520" s="73"/>
      <c r="I520" s="73"/>
      <c r="J520" s="73"/>
      <c r="K520" s="73"/>
      <c r="L520" s="73"/>
      <c r="M520" s="110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8.600000000000001" customHeight="1">
      <c r="A521" s="177" t="str">
        <f>"("&amp;B469 &amp;")"&amp;" "&amp;B468&amp;" "&amp;C468</f>
        <v xml:space="preserve">(AT) PS PEETHAPUR </v>
      </c>
      <c r="B521" s="137"/>
      <c r="C521" s="137"/>
      <c r="D521" s="137"/>
      <c r="E521" s="111"/>
      <c r="F521" s="109"/>
      <c r="G521" s="173" t="s">
        <v>135</v>
      </c>
      <c r="H521" s="137"/>
      <c r="I521" s="137"/>
      <c r="J521" s="137"/>
      <c r="K521" s="137"/>
      <c r="L521" s="137"/>
      <c r="M521" s="127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75" customHeight="1">
      <c r="A522" s="177" t="str">
        <f>E469&amp;", "&amp;J469</f>
        <v>SIRAULIGAUSPUR, BARABANKI</v>
      </c>
      <c r="B522" s="137"/>
      <c r="C522" s="137"/>
      <c r="D522" s="137"/>
      <c r="E522" s="111"/>
      <c r="F522" s="109"/>
      <c r="G522" s="173" t="str">
        <f>E469&amp;", "&amp;J469</f>
        <v>SIRAULIGAUSPUR, BARABANKI</v>
      </c>
      <c r="H522" s="137"/>
      <c r="I522" s="137"/>
      <c r="J522" s="137"/>
      <c r="K522" s="137"/>
      <c r="L522" s="137"/>
      <c r="M522" s="127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8.25" customHeight="1">
      <c r="A523" s="146"/>
      <c r="B523" s="147"/>
      <c r="C523" s="147"/>
      <c r="D523" s="147"/>
      <c r="E523" s="147"/>
      <c r="F523" s="147"/>
      <c r="G523" s="147"/>
      <c r="H523" s="147"/>
      <c r="I523" s="147"/>
      <c r="J523" s="147"/>
      <c r="K523" s="147"/>
      <c r="L523" s="147"/>
      <c r="M523" s="148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75" customHeight="1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75" customHeight="1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75" customHeight="1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75" customHeight="1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75" customHeight="1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75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75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75" customHeight="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75" customHeight="1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75" customHeight="1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75" customHeight="1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75" customHeight="1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75" customHeight="1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75" customHeight="1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75" customHeight="1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75" customHeight="1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75" customHeight="1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75" customHeight="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75" customHeight="1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75" customHeight="1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75" customHeight="1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75" customHeight="1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75" customHeight="1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75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75" customHeight="1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75" customHeight="1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75" customHeight="1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75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75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75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75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75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75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75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75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75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75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75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75" customHeight="1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75" customHeight="1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75" customHeight="1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75" customHeight="1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75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75" customHeight="1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75" customHeight="1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75" customHeight="1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75" customHeight="1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75" customHeight="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75" customHeight="1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75" customHeight="1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75" customHeight="1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75" customHeight="1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75" customHeight="1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75" customHeight="1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75" customHeight="1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75" customHeight="1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75" customHeight="1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75" customHeight="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75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75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75" customHeight="1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75" customHeight="1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75" customHeight="1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75" customHeight="1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75" customHeight="1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75" customHeight="1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75" customHeight="1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75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75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75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75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75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75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75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75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75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75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75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75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75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75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75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75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75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75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75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75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75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75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75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75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75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75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75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75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75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75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75" customHeight="1">
      <c r="A621" s="3"/>
      <c r="B621" s="3"/>
      <c r="C621" s="3"/>
      <c r="D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75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75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75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75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75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75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75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75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75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75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75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75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75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75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75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75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75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75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75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75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75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75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75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75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75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75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75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75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75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75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75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75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75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75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75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75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75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75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75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75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75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75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75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75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75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75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75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75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75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75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75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75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75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75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75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75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75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75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75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75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75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75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75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75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75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75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75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75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75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75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75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75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75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75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75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75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75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75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75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75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75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75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75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75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75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75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75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75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75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75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75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75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75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75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75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75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75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75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75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75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75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75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75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75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75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75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75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75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75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75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75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75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75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75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75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75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75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75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75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75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75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75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75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75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75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75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75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75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75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75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75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75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75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75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75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75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75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75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75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75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75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75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75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75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75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75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75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75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75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75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75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75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75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75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75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75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75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75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75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75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75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75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75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75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75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75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75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75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75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75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75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75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75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75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75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75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75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75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75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75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75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75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75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75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75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75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75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75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75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75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75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75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75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75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75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75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75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75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75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75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75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75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75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75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75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75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75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75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75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75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75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75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75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75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75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75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75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75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75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75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75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75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75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75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75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75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75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75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75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75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75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75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75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75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75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75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75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75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75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75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75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75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75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75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75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75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75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75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75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75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75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75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75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75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75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75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75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75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75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75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75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75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75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75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75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75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75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75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75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75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75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75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75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75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75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75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75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75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75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75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75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75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75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75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75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75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75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75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75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75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75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75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75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75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75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75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75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75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75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75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75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75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75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75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75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75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75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75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75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75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75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75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75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75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75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75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75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75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75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75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75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75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75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75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75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75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75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75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75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75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75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75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75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75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75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75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75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75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75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75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75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75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75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75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75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75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75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75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75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75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75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75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75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75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75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75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75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75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75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75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75" customHeight="1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5.75" customHeight="1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5.75" customHeight="1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5.75" customHeight="1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5.75" customHeight="1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5.75" customHeight="1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15.75" customHeight="1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15.75" customHeight="1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15.75" customHeight="1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ht="15.75" customHeight="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ht="15.75" customHeight="1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ht="15.75" customHeight="1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ht="15.75" customHeight="1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ht="15.75" customHeight="1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spans="1:26" ht="15.75" customHeight="1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spans="1:26" ht="15.75" customHeight="1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spans="1:26" ht="15.75" customHeight="1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spans="1:26" ht="15.75" customHeight="1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 spans="1:26" ht="15.75" customHeight="1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  <row r="1001" spans="1:26" ht="15.75" customHeight="1">
      <c r="A1001" s="3"/>
      <c r="B1001" s="3"/>
      <c r="C1001" s="3"/>
      <c r="D1001" s="3"/>
      <c r="E1001" s="3"/>
      <c r="F1001" s="3"/>
      <c r="G1001" s="3"/>
      <c r="H1001" s="3"/>
      <c r="I1001" s="3"/>
      <c r="J1001" s="3"/>
      <c r="K1001" s="3"/>
      <c r="L1001" s="3"/>
      <c r="M1001" s="3"/>
      <c r="N1001" s="3"/>
      <c r="O1001" s="3"/>
      <c r="P1001" s="3"/>
      <c r="Q1001" s="3"/>
      <c r="R1001" s="3"/>
      <c r="S1001" s="3"/>
      <c r="T1001" s="3"/>
      <c r="U1001" s="3"/>
      <c r="V1001" s="3"/>
      <c r="W1001" s="3"/>
      <c r="X1001" s="3"/>
      <c r="Y1001" s="3"/>
      <c r="Z1001" s="3"/>
    </row>
  </sheetData>
  <sheetProtection password="CC69" sheet="1" objects="1" scenarios="1"/>
  <mergeCells count="276">
    <mergeCell ref="I33:J35"/>
    <mergeCell ref="I36:J36"/>
    <mergeCell ref="A1:H1"/>
    <mergeCell ref="A2:F2"/>
    <mergeCell ref="G2:H2"/>
    <mergeCell ref="A3:F3"/>
    <mergeCell ref="G3:H3"/>
    <mergeCell ref="A4:F4"/>
    <mergeCell ref="G4:H4"/>
    <mergeCell ref="A5:F5"/>
    <mergeCell ref="G5:H5"/>
    <mergeCell ref="A6:F6"/>
    <mergeCell ref="G6:H6"/>
    <mergeCell ref="A7:F7"/>
    <mergeCell ref="G7:H7"/>
    <mergeCell ref="G8:H8"/>
    <mergeCell ref="A8:F8"/>
    <mergeCell ref="A9:F9"/>
    <mergeCell ref="G9:H9"/>
    <mergeCell ref="A10:F10"/>
    <mergeCell ref="G10:H10"/>
    <mergeCell ref="A11:F11"/>
    <mergeCell ref="G11:H11"/>
    <mergeCell ref="A12:F12"/>
    <mergeCell ref="G12:H12"/>
    <mergeCell ref="A13:F13"/>
    <mergeCell ref="G13:H13"/>
    <mergeCell ref="A14:F14"/>
    <mergeCell ref="G14:H14"/>
    <mergeCell ref="G15:H15"/>
    <mergeCell ref="A15:F15"/>
    <mergeCell ref="A16:F16"/>
    <mergeCell ref="G16:H16"/>
    <mergeCell ref="A17:F17"/>
    <mergeCell ref="G17:H17"/>
    <mergeCell ref="A18:F18"/>
    <mergeCell ref="G18:H18"/>
    <mergeCell ref="A19:F19"/>
    <mergeCell ref="G19:H19"/>
    <mergeCell ref="A20:F20"/>
    <mergeCell ref="G20:H20"/>
    <mergeCell ref="A21:F21"/>
    <mergeCell ref="G21:H21"/>
    <mergeCell ref="G22:H22"/>
    <mergeCell ref="A22:F22"/>
    <mergeCell ref="A23:F23"/>
    <mergeCell ref="G23:H23"/>
    <mergeCell ref="A24:F24"/>
    <mergeCell ref="G24:H24"/>
    <mergeCell ref="A25:F25"/>
    <mergeCell ref="G25:H25"/>
    <mergeCell ref="A432:B432"/>
    <mergeCell ref="C432:D432"/>
    <mergeCell ref="A31:F31"/>
    <mergeCell ref="G31:H31"/>
    <mergeCell ref="A32:F32"/>
    <mergeCell ref="G32:H32"/>
    <mergeCell ref="G33:H33"/>
    <mergeCell ref="A33:F33"/>
    <mergeCell ref="A34:F34"/>
    <mergeCell ref="G34:H34"/>
    <mergeCell ref="A431:B431"/>
    <mergeCell ref="C431:D431"/>
    <mergeCell ref="A423:B423"/>
    <mergeCell ref="A424:B424"/>
    <mergeCell ref="A425:B425"/>
    <mergeCell ref="A426:B426"/>
    <mergeCell ref="C433:D433"/>
    <mergeCell ref="C441:D441"/>
    <mergeCell ref="C442:D442"/>
    <mergeCell ref="C443:D443"/>
    <mergeCell ref="C444:D444"/>
    <mergeCell ref="A433:B433"/>
    <mergeCell ref="C437:D437"/>
    <mergeCell ref="C438:D438"/>
    <mergeCell ref="C439:D439"/>
    <mergeCell ref="C440:D440"/>
    <mergeCell ref="A443:B443"/>
    <mergeCell ref="A444:B444"/>
    <mergeCell ref="C434:D434"/>
    <mergeCell ref="C435:D435"/>
    <mergeCell ref="C436:D436"/>
    <mergeCell ref="A442:B442"/>
    <mergeCell ref="A428:D428"/>
    <mergeCell ref="F428:H428"/>
    <mergeCell ref="A429:D429"/>
    <mergeCell ref="A430:B430"/>
    <mergeCell ref="C430:D430"/>
    <mergeCell ref="A50:C50"/>
    <mergeCell ref="D50:F50"/>
    <mergeCell ref="A35:F35"/>
    <mergeCell ref="G35:H35"/>
    <mergeCell ref="A36:F36"/>
    <mergeCell ref="G36:H36"/>
    <mergeCell ref="A37:F37"/>
    <mergeCell ref="G37:H37"/>
    <mergeCell ref="D38:F38"/>
    <mergeCell ref="G38:H38"/>
    <mergeCell ref="G39:H39"/>
    <mergeCell ref="A40:F40"/>
    <mergeCell ref="G40:H40"/>
    <mergeCell ref="A41:F41"/>
    <mergeCell ref="G41:H41"/>
    <mergeCell ref="G42:H42"/>
    <mergeCell ref="A43:F43"/>
    <mergeCell ref="G43:H43"/>
    <mergeCell ref="A44:F44"/>
    <mergeCell ref="A26:H26"/>
    <mergeCell ref="A27:F27"/>
    <mergeCell ref="G27:H27"/>
    <mergeCell ref="A28:F28"/>
    <mergeCell ref="G28:H28"/>
    <mergeCell ref="A29:F29"/>
    <mergeCell ref="G29:H29"/>
    <mergeCell ref="A30:F30"/>
    <mergeCell ref="G30:H30"/>
    <mergeCell ref="G44:H44"/>
    <mergeCell ref="A45:H45"/>
    <mergeCell ref="A46:F46"/>
    <mergeCell ref="G46:H46"/>
    <mergeCell ref="A47:F47"/>
    <mergeCell ref="G47:H47"/>
    <mergeCell ref="A48:F48"/>
    <mergeCell ref="G48:H48"/>
    <mergeCell ref="B404:C404"/>
    <mergeCell ref="E404:G404"/>
    <mergeCell ref="B405:G405"/>
    <mergeCell ref="B406:G406"/>
    <mergeCell ref="B407:C407"/>
    <mergeCell ref="E407:G407"/>
    <mergeCell ref="H406:I406"/>
    <mergeCell ref="A52:H53"/>
    <mergeCell ref="E51:H51"/>
    <mergeCell ref="A51:C51"/>
    <mergeCell ref="J406:M406"/>
    <mergeCell ref="J407:M407"/>
    <mergeCell ref="H407:I407"/>
    <mergeCell ref="G442:L442"/>
    <mergeCell ref="I428:J428"/>
    <mergeCell ref="K428:L428"/>
    <mergeCell ref="J429:M429"/>
    <mergeCell ref="G430:M430"/>
    <mergeCell ref="G431:L431"/>
    <mergeCell ref="G432:L432"/>
    <mergeCell ref="G443:L443"/>
    <mergeCell ref="J444:K444"/>
    <mergeCell ref="A434:B434"/>
    <mergeCell ref="A435:B435"/>
    <mergeCell ref="A437:B437"/>
    <mergeCell ref="A439:B439"/>
    <mergeCell ref="A441:B441"/>
    <mergeCell ref="G434:L434"/>
    <mergeCell ref="G435:L435"/>
    <mergeCell ref="G436:L436"/>
    <mergeCell ref="G437:L437"/>
    <mergeCell ref="G452:L452"/>
    <mergeCell ref="G453:L453"/>
    <mergeCell ref="A454:D454"/>
    <mergeCell ref="G454:L454"/>
    <mergeCell ref="A449:D449"/>
    <mergeCell ref="G449:L449"/>
    <mergeCell ref="A450:D450"/>
    <mergeCell ref="G450:L450"/>
    <mergeCell ref="C445:D445"/>
    <mergeCell ref="G448:L448"/>
    <mergeCell ref="J446:K446"/>
    <mergeCell ref="A445:B445"/>
    <mergeCell ref="J445:K445"/>
    <mergeCell ref="A455:D455"/>
    <mergeCell ref="G455:L455"/>
    <mergeCell ref="A49:F49"/>
    <mergeCell ref="G49:H49"/>
    <mergeCell ref="G50:H50"/>
    <mergeCell ref="A54:D54"/>
    <mergeCell ref="E54:H54"/>
    <mergeCell ref="A56:F56"/>
    <mergeCell ref="G56:H56"/>
    <mergeCell ref="A402:M402"/>
    <mergeCell ref="A403:M403"/>
    <mergeCell ref="H404:I404"/>
    <mergeCell ref="J404:K404"/>
    <mergeCell ref="H405:I405"/>
    <mergeCell ref="J405:M405"/>
    <mergeCell ref="A422:B422"/>
    <mergeCell ref="J447:K447"/>
    <mergeCell ref="A448:D448"/>
    <mergeCell ref="G451:L451"/>
    <mergeCell ref="G433:L433"/>
    <mergeCell ref="G438:L438"/>
    <mergeCell ref="G439:L439"/>
    <mergeCell ref="G440:L440"/>
    <mergeCell ref="G441:L441"/>
    <mergeCell ref="A456:M456"/>
    <mergeCell ref="A464:M464"/>
    <mergeCell ref="A465:M465"/>
    <mergeCell ref="B466:C466"/>
    <mergeCell ref="E466:G466"/>
    <mergeCell ref="H466:I466"/>
    <mergeCell ref="J466:K466"/>
    <mergeCell ref="E507:F507"/>
    <mergeCell ref="H507:M507"/>
    <mergeCell ref="A491:H491"/>
    <mergeCell ref="I491:M491"/>
    <mergeCell ref="A492:H492"/>
    <mergeCell ref="I492:M492"/>
    <mergeCell ref="A493:H493"/>
    <mergeCell ref="I493:M493"/>
    <mergeCell ref="A494:H494"/>
    <mergeCell ref="I494:M494"/>
    <mergeCell ref="A495:H495"/>
    <mergeCell ref="I495:M495"/>
    <mergeCell ref="A496:H496"/>
    <mergeCell ref="I496:M496"/>
    <mergeCell ref="I497:M497"/>
    <mergeCell ref="A497:H497"/>
    <mergeCell ref="A498:H498"/>
    <mergeCell ref="E508:F508"/>
    <mergeCell ref="H508:M508"/>
    <mergeCell ref="B509:D509"/>
    <mergeCell ref="E509:F509"/>
    <mergeCell ref="H509:M509"/>
    <mergeCell ref="H514:M514"/>
    <mergeCell ref="H515:M515"/>
    <mergeCell ref="H516:M516"/>
    <mergeCell ref="H517:M517"/>
    <mergeCell ref="H518:M518"/>
    <mergeCell ref="G519:L519"/>
    <mergeCell ref="G521:M521"/>
    <mergeCell ref="G522:M522"/>
    <mergeCell ref="B510:G510"/>
    <mergeCell ref="H510:M510"/>
    <mergeCell ref="B511:G511"/>
    <mergeCell ref="H511:M511"/>
    <mergeCell ref="B512:G512"/>
    <mergeCell ref="H512:M512"/>
    <mergeCell ref="H513:M513"/>
    <mergeCell ref="A521:D521"/>
    <mergeCell ref="A522:D522"/>
    <mergeCell ref="A523:M523"/>
    <mergeCell ref="B513:G513"/>
    <mergeCell ref="B514:G514"/>
    <mergeCell ref="B515:G515"/>
    <mergeCell ref="B516:G516"/>
    <mergeCell ref="B517:G517"/>
    <mergeCell ref="B518:G518"/>
    <mergeCell ref="A520:D520"/>
    <mergeCell ref="B467:G467"/>
    <mergeCell ref="H467:I467"/>
    <mergeCell ref="J467:M467"/>
    <mergeCell ref="B468:G468"/>
    <mergeCell ref="H468:I468"/>
    <mergeCell ref="J468:M468"/>
    <mergeCell ref="B469:C469"/>
    <mergeCell ref="J469:M469"/>
    <mergeCell ref="E469:G469"/>
    <mergeCell ref="H469:I469"/>
    <mergeCell ref="A486:B486"/>
    <mergeCell ref="A487:B487"/>
    <mergeCell ref="A488:B488"/>
    <mergeCell ref="A485:B485"/>
    <mergeCell ref="A484:B484"/>
    <mergeCell ref="A490:M490"/>
    <mergeCell ref="I498:M498"/>
    <mergeCell ref="A499:H500"/>
    <mergeCell ref="I499:M500"/>
    <mergeCell ref="A501:H501"/>
    <mergeCell ref="I501:M501"/>
    <mergeCell ref="H505:M505"/>
    <mergeCell ref="H506:M506"/>
    <mergeCell ref="A502:M502"/>
    <mergeCell ref="E503:F503"/>
    <mergeCell ref="H503:M503"/>
    <mergeCell ref="E504:F504"/>
    <mergeCell ref="H504:M504"/>
    <mergeCell ref="E505:F505"/>
    <mergeCell ref="E506:F506"/>
  </mergeCells>
  <dataValidations count="4">
    <dataValidation type="list" allowBlank="1" showErrorMessage="1" sqref="G14">
      <formula1>REF!$B$1:$B$3</formula1>
    </dataValidation>
    <dataValidation type="list" allowBlank="1" showErrorMessage="1" sqref="G15">
      <formula1>'REF2'!$D$1:$D$12</formula1>
    </dataValidation>
    <dataValidation type="list" allowBlank="1" showErrorMessage="1" sqref="G13">
      <formula1>REF!$A$1:$A$48</formula1>
    </dataValidation>
    <dataValidation type="list" allowBlank="1" showErrorMessage="1" sqref="G16:G25">
      <formula1>'REF2'!$A$1:$A$2</formula1>
    </dataValidation>
  </dataValidations>
  <hyperlinks>
    <hyperlink ref="E51:H51" r:id="rId1" display="    Facebook"/>
    <hyperlink ref="A51:C51" r:id="rId2" display="Instagram"/>
  </hyperlinks>
  <printOptions horizontalCentered="1"/>
  <pageMargins left="0.23622047244094491" right="0.23622047244094491" top="0.19685039370078741" bottom="0.19685039370078741" header="0" footer="0"/>
  <pageSetup paperSize="9" scale="84" fitToHeight="2" orientation="portrait" r:id="rId3"/>
  <drawing r:id="rId4"/>
  <legacyDrawing r:id="rId5"/>
</worksheet>
</file>

<file path=xl/worksheets/sheet2.xml><?xml version="1.0" encoding="utf-8"?>
<worksheet xmlns="http://schemas.openxmlformats.org/spreadsheetml/2006/main" xmlns:r="http://schemas.openxmlformats.org/officeDocument/2006/relationships">
  <dimension ref="A1:B1000"/>
  <sheetViews>
    <sheetView workbookViewId="0"/>
  </sheetViews>
  <sheetFormatPr defaultColWidth="14.44140625" defaultRowHeight="15" customHeight="1"/>
  <cols>
    <col min="1" max="6" width="8.5546875" customWidth="1"/>
  </cols>
  <sheetData>
    <row r="1" spans="1:2" ht="14.25" customHeight="1">
      <c r="A1" s="1">
        <v>35400</v>
      </c>
      <c r="B1" s="1">
        <v>4200</v>
      </c>
    </row>
    <row r="2" spans="1:2" ht="14.25" customHeight="1">
      <c r="A2" s="1">
        <v>36500</v>
      </c>
      <c r="B2" s="1">
        <v>4600</v>
      </c>
    </row>
    <row r="3" spans="1:2" ht="14.25" customHeight="1">
      <c r="A3" s="1">
        <v>37600</v>
      </c>
      <c r="B3" s="1">
        <v>4800</v>
      </c>
    </row>
    <row r="4" spans="1:2" ht="14.25" customHeight="1">
      <c r="A4" s="1">
        <v>38700</v>
      </c>
      <c r="B4" s="1"/>
    </row>
    <row r="5" spans="1:2" ht="14.25" customHeight="1">
      <c r="A5" s="1">
        <v>39900</v>
      </c>
    </row>
    <row r="6" spans="1:2" ht="14.25" customHeight="1">
      <c r="A6" s="1">
        <v>41100</v>
      </c>
    </row>
    <row r="7" spans="1:2" ht="14.25" customHeight="1">
      <c r="A7" s="1">
        <v>42300</v>
      </c>
    </row>
    <row r="8" spans="1:2" ht="14.25" customHeight="1">
      <c r="A8" s="1">
        <v>43600</v>
      </c>
    </row>
    <row r="9" spans="1:2" ht="14.25" customHeight="1">
      <c r="A9" s="1">
        <v>44900</v>
      </c>
    </row>
    <row r="10" spans="1:2" ht="14.25" customHeight="1">
      <c r="A10" s="1">
        <v>46200</v>
      </c>
    </row>
    <row r="11" spans="1:2" ht="14.25" customHeight="1">
      <c r="A11" s="1">
        <v>47600</v>
      </c>
    </row>
    <row r="12" spans="1:2" ht="14.25" customHeight="1">
      <c r="A12" s="1">
        <v>49000</v>
      </c>
    </row>
    <row r="13" spans="1:2" ht="14.25" customHeight="1">
      <c r="A13" s="1">
        <v>50500</v>
      </c>
    </row>
    <row r="14" spans="1:2" ht="14.25" customHeight="1">
      <c r="A14" s="1">
        <v>52000</v>
      </c>
    </row>
    <row r="15" spans="1:2" ht="14.25" customHeight="1">
      <c r="A15" s="1">
        <v>53600</v>
      </c>
    </row>
    <row r="16" spans="1:2" ht="14.25" customHeight="1">
      <c r="A16" s="1">
        <v>55200</v>
      </c>
    </row>
    <row r="17" spans="1:1" ht="14.25" customHeight="1">
      <c r="A17" s="1">
        <v>56900</v>
      </c>
    </row>
    <row r="18" spans="1:1" ht="14.25" customHeight="1">
      <c r="A18" s="1">
        <v>58600</v>
      </c>
    </row>
    <row r="19" spans="1:1" ht="14.25" customHeight="1">
      <c r="A19" s="1">
        <v>60400</v>
      </c>
    </row>
    <row r="20" spans="1:1" ht="14.25" customHeight="1">
      <c r="A20" s="1">
        <v>62200</v>
      </c>
    </row>
    <row r="21" spans="1:1" ht="14.25" customHeight="1">
      <c r="A21" s="1">
        <v>64100</v>
      </c>
    </row>
    <row r="22" spans="1:1" ht="14.25" customHeight="1">
      <c r="A22" s="1">
        <v>66000</v>
      </c>
    </row>
    <row r="23" spans="1:1" ht="14.25" customHeight="1">
      <c r="A23" s="1">
        <v>68000</v>
      </c>
    </row>
    <row r="24" spans="1:1" ht="14.25" customHeight="1">
      <c r="A24" s="1">
        <v>70000</v>
      </c>
    </row>
    <row r="25" spans="1:1" ht="14.25" customHeight="1">
      <c r="A25" s="1">
        <v>72100</v>
      </c>
    </row>
    <row r="26" spans="1:1" ht="14.25" customHeight="1">
      <c r="A26" s="1">
        <v>74300</v>
      </c>
    </row>
    <row r="27" spans="1:1" ht="14.25" customHeight="1">
      <c r="A27" s="1">
        <v>76500</v>
      </c>
    </row>
    <row r="28" spans="1:1" ht="14.25" customHeight="1">
      <c r="A28" s="1">
        <v>78800</v>
      </c>
    </row>
    <row r="29" spans="1:1" ht="14.25" customHeight="1">
      <c r="A29" s="1">
        <v>81200</v>
      </c>
    </row>
    <row r="30" spans="1:1" ht="14.25" customHeight="1">
      <c r="A30" s="1">
        <v>83600</v>
      </c>
    </row>
    <row r="31" spans="1:1" ht="14.25" customHeight="1">
      <c r="A31" s="1">
        <v>86100</v>
      </c>
    </row>
    <row r="32" spans="1:1" ht="14.25" customHeight="1">
      <c r="A32" s="1">
        <v>88700</v>
      </c>
    </row>
    <row r="33" spans="1:1" ht="14.25" customHeight="1">
      <c r="A33" s="1">
        <v>91400</v>
      </c>
    </row>
    <row r="34" spans="1:1" ht="14.25" customHeight="1">
      <c r="A34" s="1">
        <v>94400</v>
      </c>
    </row>
    <row r="35" spans="1:1" ht="14.25" customHeight="1">
      <c r="A35" s="1">
        <v>96900</v>
      </c>
    </row>
    <row r="36" spans="1:1" ht="14.25" customHeight="1">
      <c r="A36" s="1">
        <v>99800</v>
      </c>
    </row>
    <row r="37" spans="1:1" ht="14.25" customHeight="1">
      <c r="A37" s="1">
        <v>102800</v>
      </c>
    </row>
    <row r="38" spans="1:1" ht="14.25" customHeight="1">
      <c r="A38" s="1">
        <v>105900</v>
      </c>
    </row>
    <row r="39" spans="1:1" ht="14.25" customHeight="1">
      <c r="A39" s="1">
        <v>109100</v>
      </c>
    </row>
    <row r="40" spans="1:1" ht="14.25" customHeight="1">
      <c r="A40" s="1">
        <v>112400</v>
      </c>
    </row>
    <row r="41" spans="1:1" ht="14.25" customHeight="1">
      <c r="A41" s="1">
        <v>115800</v>
      </c>
    </row>
    <row r="42" spans="1:1" ht="14.25" customHeight="1">
      <c r="A42" s="1">
        <v>119300</v>
      </c>
    </row>
    <row r="43" spans="1:1" ht="14.25" customHeight="1">
      <c r="A43" s="1">
        <v>122900</v>
      </c>
    </row>
    <row r="44" spans="1:1" ht="14.25" customHeight="1">
      <c r="A44" s="1">
        <v>126600</v>
      </c>
    </row>
    <row r="45" spans="1:1" ht="14.25" customHeight="1">
      <c r="A45" s="1">
        <v>130400</v>
      </c>
    </row>
    <row r="46" spans="1:1" ht="14.25" customHeight="1">
      <c r="A46" s="1">
        <v>134300</v>
      </c>
    </row>
    <row r="47" spans="1:1" ht="14.25" customHeight="1">
      <c r="A47" s="1">
        <v>138300</v>
      </c>
    </row>
    <row r="48" spans="1:1" ht="14.25" customHeight="1">
      <c r="A48" s="1">
        <v>142400</v>
      </c>
    </row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sheetProtection password="CC29" sheet="1" objects="1" scenarios="1"/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>
  <dimension ref="A1:D1000"/>
  <sheetViews>
    <sheetView workbookViewId="0">
      <selection activeCell="D10" sqref="D10"/>
    </sheetView>
  </sheetViews>
  <sheetFormatPr defaultColWidth="14.44140625" defaultRowHeight="15" customHeight="1"/>
  <cols>
    <col min="1" max="6" width="8.5546875" customWidth="1"/>
  </cols>
  <sheetData>
    <row r="1" spans="1:4" ht="14.25" customHeight="1">
      <c r="A1" s="2">
        <v>1</v>
      </c>
      <c r="B1" s="2" t="s">
        <v>166</v>
      </c>
      <c r="C1" s="2" t="s">
        <v>167</v>
      </c>
      <c r="D1" s="2">
        <v>1340</v>
      </c>
    </row>
    <row r="2" spans="1:4" ht="14.25" customHeight="1">
      <c r="A2" s="2">
        <v>2</v>
      </c>
      <c r="B2" s="2" t="s">
        <v>168</v>
      </c>
      <c r="C2" s="2" t="s">
        <v>169</v>
      </c>
      <c r="D2" s="2">
        <v>1840</v>
      </c>
    </row>
    <row r="3" spans="1:4" ht="14.25" customHeight="1">
      <c r="B3" s="2" t="s">
        <v>170</v>
      </c>
      <c r="C3" s="2" t="s">
        <v>171</v>
      </c>
      <c r="D3" s="2">
        <v>1870</v>
      </c>
    </row>
    <row r="4" spans="1:4" ht="14.25" customHeight="1">
      <c r="D4" s="2">
        <v>2020</v>
      </c>
    </row>
    <row r="5" spans="1:4" ht="14.25" customHeight="1">
      <c r="D5" s="2">
        <v>2100</v>
      </c>
    </row>
    <row r="6" spans="1:4" ht="14.25" customHeight="1">
      <c r="D6" s="2">
        <v>2760</v>
      </c>
    </row>
    <row r="7" spans="1:4" ht="14.25" customHeight="1">
      <c r="D7" s="2">
        <v>2810</v>
      </c>
    </row>
    <row r="8" spans="1:4" ht="14.25" customHeight="1">
      <c r="D8" s="2">
        <v>3150</v>
      </c>
    </row>
    <row r="9" spans="1:4" ht="14.25" customHeight="1">
      <c r="D9" s="2">
        <v>4040</v>
      </c>
    </row>
    <row r="10" spans="1:4" ht="14.25" customHeight="1">
      <c r="D10" s="2">
        <v>5520</v>
      </c>
    </row>
    <row r="11" spans="1:4" ht="14.25" customHeight="1">
      <c r="D11" s="2">
        <v>5620</v>
      </c>
    </row>
    <row r="12" spans="1:4" ht="14.25" customHeight="1">
      <c r="D12" s="2">
        <v>6300</v>
      </c>
    </row>
    <row r="13" spans="1:4" ht="14.25" customHeight="1"/>
    <row r="14" spans="1:4" ht="14.25" customHeight="1"/>
    <row r="15" spans="1:4" ht="14.25" customHeight="1"/>
    <row r="16" spans="1:4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sheetProtection password="CC29" sheet="1" objects="1" scenarios="1"/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Vikas.sir91</vt:lpstr>
      <vt:lpstr>REF</vt:lpstr>
      <vt:lpstr>REF2</vt:lpstr>
      <vt:lpstr>Vikas.sir91!Print_Area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VIKAS VERMA</dc:creator>
  <cp:lastModifiedBy>VIKAS VERMA</cp:lastModifiedBy>
  <cp:lastPrinted>2025-12-18T18:21:45Z</cp:lastPrinted>
  <dcterms:created xsi:type="dcterms:W3CDTF">2019-01-07T13:41:31Z</dcterms:created>
  <dcterms:modified xsi:type="dcterms:W3CDTF">2025-12-26T06:58:40Z</dcterms:modified>
</cp:coreProperties>
</file>